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T:\MODULI EXCEL per CLIENTI\"/>
    </mc:Choice>
  </mc:AlternateContent>
  <xr:revisionPtr revIDLastSave="0" documentId="13_ncr:1_{1C464D9C-9A66-4514-93DB-F3BDA2B7A016}" xr6:coauthVersionLast="47" xr6:coauthVersionMax="47" xr10:uidLastSave="{00000000-0000-0000-0000-000000000000}"/>
  <workbookProtection workbookAlgorithmName="SHA-512" workbookHashValue="MVpXoHwcaEyVu7TAuXW77ysoGB41S8uM0jolmGAruC4YLp4IK9DRInnMRiTGpRN1OKGNQCDYmgCyHUcfIHv/mA==" workbookSaltValue="HQF5YvjE2IcWynQ3sI6UGA==" workbookSpinCount="100000" lockStructure="1"/>
  <bookViews>
    <workbookView xWindow="24" yWindow="-16308" windowWidth="29016" windowHeight="16416" xr2:uid="{00000000-000D-0000-FFFF-FFFF00000000}"/>
  </bookViews>
  <sheets>
    <sheet name="MODULO" sheetId="2" r:id="rId1"/>
    <sheet name="CARTELLINO" sheetId="1" state="veryHidden" r:id="rId2"/>
  </sheets>
  <definedNames>
    <definedName name="_A1">MODULO!$BM$12:$BM$18</definedName>
    <definedName name="_A2">MODULO!$BN$12:$BN$16</definedName>
    <definedName name="_A3">MODULO!$BO$12:$BO$15</definedName>
    <definedName name="_A4">MODULO!$BP$12:$BP$14</definedName>
    <definedName name="_A5">MODULO!$BQ$12:$BQ$13</definedName>
    <definedName name="_A6">MODULO!$BR$12</definedName>
    <definedName name="A">MODULO!$AK$8</definedName>
    <definedName name="ANTRACITE">MODULO!$AH$8:$AH$10</definedName>
    <definedName name="_xlnm.Print_Area" localSheetId="1">CARTELLINO!$R$18:$AK$85</definedName>
    <definedName name="_xlnm.Print_Area" localSheetId="0">MODULO!$A$1:$R$22</definedName>
    <definedName name="ARGENTO">MODULO!$AI$8:$AI$10</definedName>
    <definedName name="B">MODULO!$AL$8:$AL$15</definedName>
    <definedName name="BIANCO">MODULO!$AJ$8:$AJ$10</definedName>
    <definedName name="D">MODULO!$AL$8:$AL$15</definedName>
    <definedName name="DD">MODULO!$AP$6</definedName>
    <definedName name="E">MODULO!$AQ$5:$AQ$6</definedName>
    <definedName name="F">MODULO!$AR$6</definedName>
    <definedName name="G">MODULO!$AT$8</definedName>
    <definedName name="H">MODULO!$AU$8:$AU$13</definedName>
    <definedName name="I">MODULO!$AV$8:$AV$12</definedName>
    <definedName name="L">MODULO!$AY$8</definedName>
    <definedName name="M">MODULO!$AZ$8:$AZ$9</definedName>
    <definedName name="N">MODULO!$BC$8</definedName>
    <definedName name="O">MODULO!$BD$8</definedName>
    <definedName name="P">MODULO!$BG$8</definedName>
    <definedName name="Q">MODULO!$BH$8</definedName>
    <definedName name="S">MODULO!$BM$8:$BM$9</definedName>
    <definedName name="T">MODULO!$BN$8:$BN$9</definedName>
    <definedName name="U">MODULO!$BO$8:$BO$9</definedName>
    <definedName name="Z">MODULO!$BP$8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0" i="1" l="1"/>
  <c r="P34" i="1"/>
  <c r="P36" i="1"/>
  <c r="Z36" i="1" s="1"/>
  <c r="BW8" i="2"/>
  <c r="BZ8" i="2" s="1"/>
  <c r="BW9" i="2"/>
  <c r="BY9" i="2" s="1"/>
  <c r="BW10" i="2"/>
  <c r="CA10" i="2" s="1"/>
  <c r="BW11" i="2"/>
  <c r="CA11" i="2" s="1"/>
  <c r="BW12" i="2"/>
  <c r="BY12" i="2" s="1"/>
  <c r="BW13" i="2"/>
  <c r="CA13" i="2" s="1"/>
  <c r="BW14" i="2"/>
  <c r="BZ14" i="2" s="1"/>
  <c r="BW15" i="2"/>
  <c r="BZ15" i="2" s="1"/>
  <c r="BW16" i="2"/>
  <c r="BY16" i="2" s="1"/>
  <c r="BW17" i="2"/>
  <c r="CA17" i="2" s="1"/>
  <c r="BW7" i="2"/>
  <c r="BL8" i="2"/>
  <c r="BK8" i="2" s="1"/>
  <c r="BL9" i="2"/>
  <c r="BK9" i="2" s="1"/>
  <c r="BL10" i="2"/>
  <c r="BK10" i="2" s="1"/>
  <c r="BL11" i="2"/>
  <c r="BK11" i="2" s="1"/>
  <c r="BL12" i="2"/>
  <c r="BK12" i="2" s="1"/>
  <c r="BL13" i="2"/>
  <c r="BK13" i="2" s="1"/>
  <c r="BL14" i="2"/>
  <c r="BK14" i="2" s="1"/>
  <c r="BL15" i="2"/>
  <c r="BK15" i="2" s="1"/>
  <c r="BL16" i="2"/>
  <c r="BK16" i="2" s="1"/>
  <c r="BL17" i="2"/>
  <c r="BK17" i="2" s="1"/>
  <c r="BL7" i="2"/>
  <c r="BK7" i="2" s="1"/>
  <c r="V24" i="1"/>
  <c r="V58" i="1" s="1"/>
  <c r="AC24" i="1"/>
  <c r="AC28" i="1"/>
  <c r="AH63" i="1" s="1"/>
  <c r="S19" i="1"/>
  <c r="R53" i="1" s="1"/>
  <c r="AD26" i="1"/>
  <c r="AE26" i="1"/>
  <c r="AD28" i="1"/>
  <c r="BT10" i="2"/>
  <c r="AE30" i="1"/>
  <c r="BU13" i="2"/>
  <c r="AE36" i="1"/>
  <c r="BU14" i="2"/>
  <c r="AE38" i="1"/>
  <c r="AE42" i="1"/>
  <c r="AD44" i="1"/>
  <c r="AE44" i="1"/>
  <c r="BT7" i="2"/>
  <c r="F1" i="2"/>
  <c r="AE19" i="1"/>
  <c r="AB24" i="1"/>
  <c r="AS24" i="1" s="1"/>
  <c r="S24" i="1"/>
  <c r="T24" i="1"/>
  <c r="T58" i="1" s="1"/>
  <c r="U24" i="1"/>
  <c r="U58" i="1" s="1"/>
  <c r="W24" i="1"/>
  <c r="W58" i="1" s="1"/>
  <c r="X24" i="1"/>
  <c r="BM8" i="2"/>
  <c r="U80" i="1"/>
  <c r="AF20" i="1"/>
  <c r="AF54" i="1" s="1"/>
  <c r="X19" i="1"/>
  <c r="V53" i="1" s="1"/>
  <c r="AH18" i="1"/>
  <c r="AH52" i="1" s="1"/>
  <c r="U18" i="1"/>
  <c r="U52" i="1" s="1"/>
  <c r="Z85" i="1"/>
  <c r="Z82" i="1"/>
  <c r="U46" i="1"/>
  <c r="Z51" i="1"/>
  <c r="AE51" i="1"/>
  <c r="BV8" i="2"/>
  <c r="BV9" i="2"/>
  <c r="BV10" i="2"/>
  <c r="BV11" i="2"/>
  <c r="BV12" i="2"/>
  <c r="BV13" i="2"/>
  <c r="BV14" i="2"/>
  <c r="BV15" i="2"/>
  <c r="BV16" i="2"/>
  <c r="BV17" i="2"/>
  <c r="BV7" i="2"/>
  <c r="BB8" i="2"/>
  <c r="BB9" i="2"/>
  <c r="BB10" i="2"/>
  <c r="BB11" i="2"/>
  <c r="BB12" i="2"/>
  <c r="BB13" i="2"/>
  <c r="BB14" i="2"/>
  <c r="BB15" i="2"/>
  <c r="BB16" i="2"/>
  <c r="BB17" i="2"/>
  <c r="BB7" i="2"/>
  <c r="CI8" i="2"/>
  <c r="CI9" i="2"/>
  <c r="CI10" i="2"/>
  <c r="CI11" i="2"/>
  <c r="CI12" i="2"/>
  <c r="CI13" i="2"/>
  <c r="CI14" i="2"/>
  <c r="CI15" i="2"/>
  <c r="CI16" i="2"/>
  <c r="CI17" i="2"/>
  <c r="CG8" i="2"/>
  <c r="CG9" i="2"/>
  <c r="CG10" i="2"/>
  <c r="CG11" i="2"/>
  <c r="CG12" i="2"/>
  <c r="CG13" i="2"/>
  <c r="CG14" i="2"/>
  <c r="CG15" i="2"/>
  <c r="CG16" i="2"/>
  <c r="CG17" i="2"/>
  <c r="CG7" i="2"/>
  <c r="CI7" i="2"/>
  <c r="CH8" i="2"/>
  <c r="CH9" i="2"/>
  <c r="CH10" i="2"/>
  <c r="CH11" i="2"/>
  <c r="CH12" i="2"/>
  <c r="CH13" i="2"/>
  <c r="CH14" i="2"/>
  <c r="CH15" i="2"/>
  <c r="CH16" i="2"/>
  <c r="CH17" i="2"/>
  <c r="CH7" i="2"/>
  <c r="CF8" i="2"/>
  <c r="CF9" i="2"/>
  <c r="CF10" i="2"/>
  <c r="CF11" i="2"/>
  <c r="CF12" i="2"/>
  <c r="CF13" i="2"/>
  <c r="CF14" i="2"/>
  <c r="CF15" i="2"/>
  <c r="CF16" i="2"/>
  <c r="CF17" i="2"/>
  <c r="CF7" i="2"/>
  <c r="BW18" i="2"/>
  <c r="B21" i="2" s="1"/>
  <c r="CB9" i="2"/>
  <c r="CD9" i="2" s="1"/>
  <c r="CB10" i="2"/>
  <c r="CE10" i="2" s="1"/>
  <c r="CB11" i="2"/>
  <c r="CC11" i="2" s="1"/>
  <c r="CB12" i="2"/>
  <c r="CC12" i="2" s="1"/>
  <c r="CB13" i="2"/>
  <c r="CC13" i="2" s="1"/>
  <c r="CB14" i="2"/>
  <c r="CE14" i="2" s="1"/>
  <c r="CB15" i="2"/>
  <c r="CD15" i="2" s="1"/>
  <c r="CB16" i="2"/>
  <c r="CD16" i="2" s="1"/>
  <c r="CB17" i="2"/>
  <c r="CD17" i="2" s="1"/>
  <c r="CB7" i="2"/>
  <c r="CE7" i="2" s="1"/>
  <c r="CB8" i="2"/>
  <c r="CE8" i="2" s="1"/>
  <c r="AE24" i="1"/>
  <c r="AI56" i="1"/>
  <c r="BG44" i="1"/>
  <c r="BG42" i="1"/>
  <c r="BG40" i="1"/>
  <c r="BG38" i="1"/>
  <c r="BG36" i="1"/>
  <c r="BG34" i="1"/>
  <c r="BG32" i="1"/>
  <c r="BG30" i="1"/>
  <c r="BG28" i="1"/>
  <c r="BG26" i="1"/>
  <c r="Y44" i="1"/>
  <c r="AV44" i="1" s="1"/>
  <c r="Y42" i="1"/>
  <c r="Y76" i="1" s="1"/>
  <c r="Y40" i="1"/>
  <c r="Y74" i="1" s="1"/>
  <c r="Y38" i="1"/>
  <c r="AV38" i="1" s="1"/>
  <c r="Y36" i="1"/>
  <c r="AV36" i="1" s="1"/>
  <c r="Y34" i="1"/>
  <c r="AV34" i="1" s="1"/>
  <c r="Y32" i="1"/>
  <c r="AV32" i="1" s="1"/>
  <c r="Y30" i="1"/>
  <c r="Y28" i="1"/>
  <c r="Y26" i="1"/>
  <c r="AU26" i="1" s="1"/>
  <c r="Y24" i="1"/>
  <c r="AV24" i="1" s="1"/>
  <c r="AB44" i="1"/>
  <c r="AT44" i="1" s="1"/>
  <c r="AB42" i="1"/>
  <c r="AT42" i="1" s="1"/>
  <c r="AB40" i="1"/>
  <c r="AT40" i="1" s="1"/>
  <c r="AB38" i="1"/>
  <c r="AF72" i="1" s="1"/>
  <c r="AB36" i="1"/>
  <c r="AR36" i="1" s="1"/>
  <c r="AB34" i="1"/>
  <c r="AT34" i="1" s="1"/>
  <c r="AB32" i="1"/>
  <c r="AF66" i="1" s="1"/>
  <c r="AB30" i="1"/>
  <c r="AF64" i="1" s="1"/>
  <c r="AB28" i="1"/>
  <c r="AQ28" i="1" s="1"/>
  <c r="AB26" i="1"/>
  <c r="AT26" i="1" s="1"/>
  <c r="Q24" i="1"/>
  <c r="AA58" i="1" s="1"/>
  <c r="Q26" i="1"/>
  <c r="AA60" i="1" s="1"/>
  <c r="Q28" i="1"/>
  <c r="AA28" i="1" s="1"/>
  <c r="Q30" i="1"/>
  <c r="AA64" i="1" s="1"/>
  <c r="Q32" i="1"/>
  <c r="AA32" i="1" s="1"/>
  <c r="Q34" i="1"/>
  <c r="Q36" i="1"/>
  <c r="AA70" i="1" s="1"/>
  <c r="Q38" i="1"/>
  <c r="AA72" i="1" s="1"/>
  <c r="Q40" i="1"/>
  <c r="AA40" i="1" s="1"/>
  <c r="Q42" i="1"/>
  <c r="Q44" i="1"/>
  <c r="AA44" i="1" s="1"/>
  <c r="P44" i="1"/>
  <c r="Z44" i="1" s="1"/>
  <c r="P42" i="1"/>
  <c r="Z42" i="1" s="1"/>
  <c r="P40" i="1"/>
  <c r="P38" i="1"/>
  <c r="Z72" i="1" s="1"/>
  <c r="Z34" i="1"/>
  <c r="P32" i="1"/>
  <c r="Z30" i="1"/>
  <c r="P28" i="1"/>
  <c r="P26" i="1"/>
  <c r="Z60" i="1" s="1"/>
  <c r="P24" i="1"/>
  <c r="Z24" i="1" s="1"/>
  <c r="AI44" i="1"/>
  <c r="AI42" i="1"/>
  <c r="AI40" i="1"/>
  <c r="AI38" i="1"/>
  <c r="AI36" i="1"/>
  <c r="AI34" i="1"/>
  <c r="AI32" i="1"/>
  <c r="AI30" i="1"/>
  <c r="AI28" i="1"/>
  <c r="AI26" i="1"/>
  <c r="AI24" i="1"/>
  <c r="AG24" i="1"/>
  <c r="AG26" i="1"/>
  <c r="AG28" i="1"/>
  <c r="AG30" i="1"/>
  <c r="AG32" i="1"/>
  <c r="AG34" i="1"/>
  <c r="AG36" i="1"/>
  <c r="AG38" i="1"/>
  <c r="AG40" i="1"/>
  <c r="AG42" i="1"/>
  <c r="AG44" i="1"/>
  <c r="AF24" i="1"/>
  <c r="AK58" i="1" s="1"/>
  <c r="AF26" i="1"/>
  <c r="AK60" i="1" s="1"/>
  <c r="AF28" i="1"/>
  <c r="AK62" i="1" s="1"/>
  <c r="AF30" i="1"/>
  <c r="AK64" i="1" s="1"/>
  <c r="AF32" i="1"/>
  <c r="AK66" i="1" s="1"/>
  <c r="AF34" i="1"/>
  <c r="AK68" i="1" s="1"/>
  <c r="AF36" i="1"/>
  <c r="AK70" i="1" s="1"/>
  <c r="AF38" i="1"/>
  <c r="AK72" i="1" s="1"/>
  <c r="AF40" i="1"/>
  <c r="AK74" i="1" s="1"/>
  <c r="AF42" i="1"/>
  <c r="AK76" i="1" s="1"/>
  <c r="AF44" i="1"/>
  <c r="AK78" i="1" s="1"/>
  <c r="AE28" i="1"/>
  <c r="AE32" i="1"/>
  <c r="AE34" i="1"/>
  <c r="AE40" i="1"/>
  <c r="AD30" i="1"/>
  <c r="AD32" i="1"/>
  <c r="AD34" i="1"/>
  <c r="AD40" i="1"/>
  <c r="AD42" i="1"/>
  <c r="AC26" i="1"/>
  <c r="AI60" i="1" s="1"/>
  <c r="AC30" i="1"/>
  <c r="AI64" i="1" s="1"/>
  <c r="AC32" i="1"/>
  <c r="AH67" i="1" s="1"/>
  <c r="AC34" i="1"/>
  <c r="AI68" i="1" s="1"/>
  <c r="AC36" i="1"/>
  <c r="AH71" i="1" s="1"/>
  <c r="AC38" i="1"/>
  <c r="AC40" i="1"/>
  <c r="AH75" i="1" s="1"/>
  <c r="AC42" i="1"/>
  <c r="AH77" i="1" s="1"/>
  <c r="AC44" i="1"/>
  <c r="AH79" i="1" s="1"/>
  <c r="V26" i="1"/>
  <c r="AZ26" i="1" s="1"/>
  <c r="W26" i="1"/>
  <c r="W60" i="1" s="1"/>
  <c r="X26" i="1"/>
  <c r="X60" i="1" s="1"/>
  <c r="V28" i="1"/>
  <c r="AZ28" i="1" s="1"/>
  <c r="W28" i="1"/>
  <c r="W62" i="1" s="1"/>
  <c r="X28" i="1"/>
  <c r="V30" i="1"/>
  <c r="AB64" i="1" s="1"/>
  <c r="W30" i="1"/>
  <c r="W64" i="1" s="1"/>
  <c r="X30" i="1"/>
  <c r="X64" i="1" s="1"/>
  <c r="V32" i="1"/>
  <c r="AZ32" i="1" s="1"/>
  <c r="W32" i="1"/>
  <c r="W66" i="1" s="1"/>
  <c r="X32" i="1"/>
  <c r="X66" i="1" s="1"/>
  <c r="V34" i="1"/>
  <c r="W34" i="1"/>
  <c r="W68" i="1" s="1"/>
  <c r="X34" i="1"/>
  <c r="X68" i="1" s="1"/>
  <c r="V36" i="1"/>
  <c r="V70" i="1" s="1"/>
  <c r="W36" i="1"/>
  <c r="W70" i="1" s="1"/>
  <c r="X36" i="1"/>
  <c r="AP36" i="1" s="1"/>
  <c r="V38" i="1"/>
  <c r="AZ38" i="1" s="1"/>
  <c r="W38" i="1"/>
  <c r="W72" i="1" s="1"/>
  <c r="X38" i="1"/>
  <c r="X72" i="1" s="1"/>
  <c r="V40" i="1"/>
  <c r="AZ40" i="1" s="1"/>
  <c r="W40" i="1"/>
  <c r="W74" i="1" s="1"/>
  <c r="X40" i="1"/>
  <c r="X74" i="1" s="1"/>
  <c r="V42" i="1"/>
  <c r="V76" i="1" s="1"/>
  <c r="W42" i="1"/>
  <c r="X42" i="1"/>
  <c r="X76" i="1" s="1"/>
  <c r="V44" i="1"/>
  <c r="AB78" i="1" s="1"/>
  <c r="W44" i="1"/>
  <c r="W78" i="1" s="1"/>
  <c r="X44" i="1"/>
  <c r="X78" i="1" s="1"/>
  <c r="U26" i="1"/>
  <c r="U60" i="1" s="1"/>
  <c r="U28" i="1"/>
  <c r="U62" i="1" s="1"/>
  <c r="U30" i="1"/>
  <c r="U64" i="1" s="1"/>
  <c r="U32" i="1"/>
  <c r="U66" i="1" s="1"/>
  <c r="U34" i="1"/>
  <c r="U68" i="1" s="1"/>
  <c r="U36" i="1"/>
  <c r="U70" i="1" s="1"/>
  <c r="U38" i="1"/>
  <c r="U72" i="1" s="1"/>
  <c r="U40" i="1"/>
  <c r="U74" i="1" s="1"/>
  <c r="U42" i="1"/>
  <c r="U76" i="1" s="1"/>
  <c r="U44" i="1"/>
  <c r="U78" i="1" s="1"/>
  <c r="T26" i="1"/>
  <c r="T60" i="1" s="1"/>
  <c r="T28" i="1"/>
  <c r="T62" i="1" s="1"/>
  <c r="T30" i="1"/>
  <c r="T64" i="1" s="1"/>
  <c r="T32" i="1"/>
  <c r="T66" i="1" s="1"/>
  <c r="T34" i="1"/>
  <c r="T68" i="1" s="1"/>
  <c r="T36" i="1"/>
  <c r="T70" i="1" s="1"/>
  <c r="T38" i="1"/>
  <c r="T72" i="1" s="1"/>
  <c r="T40" i="1"/>
  <c r="T74" i="1" s="1"/>
  <c r="T42" i="1"/>
  <c r="T76" i="1" s="1"/>
  <c r="T44" i="1"/>
  <c r="T78" i="1" s="1"/>
  <c r="S44" i="1"/>
  <c r="AO44" i="1" s="1"/>
  <c r="S42" i="1"/>
  <c r="S40" i="1"/>
  <c r="S38" i="1"/>
  <c r="S36" i="1"/>
  <c r="AY36" i="1" s="1"/>
  <c r="S34" i="1"/>
  <c r="S68" i="1" s="1"/>
  <c r="S32" i="1"/>
  <c r="S66" i="1" s="1"/>
  <c r="S30" i="1"/>
  <c r="AY30" i="1" s="1"/>
  <c r="S28" i="1"/>
  <c r="S62" i="1" s="1"/>
  <c r="S26" i="1"/>
  <c r="CA18" i="2"/>
  <c r="J22" i="2" s="1"/>
  <c r="BU17" i="2"/>
  <c r="BS17" i="2"/>
  <c r="BJ17" i="2"/>
  <c r="BF17" i="2"/>
  <c r="AX17" i="2"/>
  <c r="AS17" i="2"/>
  <c r="AN17" i="2"/>
  <c r="AG17" i="2"/>
  <c r="BJ8" i="2"/>
  <c r="BJ9" i="2"/>
  <c r="BJ10" i="2"/>
  <c r="BJ11" i="2"/>
  <c r="BJ12" i="2"/>
  <c r="BJ13" i="2"/>
  <c r="BJ14" i="2"/>
  <c r="BJ15" i="2"/>
  <c r="BJ16" i="2"/>
  <c r="BJ7" i="2"/>
  <c r="AN8" i="2"/>
  <c r="AN9" i="2"/>
  <c r="AN10" i="2"/>
  <c r="AN11" i="2"/>
  <c r="AN12" i="2"/>
  <c r="AN13" i="2"/>
  <c r="AN14" i="2"/>
  <c r="AN15" i="2"/>
  <c r="AN16" i="2"/>
  <c r="AN7" i="2"/>
  <c r="BU9" i="2"/>
  <c r="BU10" i="2"/>
  <c r="BU11" i="2"/>
  <c r="BU12" i="2"/>
  <c r="BU15" i="2"/>
  <c r="BU16" i="2"/>
  <c r="BT9" i="2"/>
  <c r="BT11" i="2"/>
  <c r="BT12" i="2"/>
  <c r="BT15" i="2"/>
  <c r="BT16" i="2"/>
  <c r="BS8" i="2"/>
  <c r="BS9" i="2"/>
  <c r="BS10" i="2"/>
  <c r="BS11" i="2"/>
  <c r="BS12" i="2"/>
  <c r="BS13" i="2"/>
  <c r="BS14" i="2"/>
  <c r="BS15" i="2"/>
  <c r="BS16" i="2"/>
  <c r="BS7" i="2"/>
  <c r="BF8" i="2"/>
  <c r="BF9" i="2"/>
  <c r="BF10" i="2"/>
  <c r="BF11" i="2"/>
  <c r="BF12" i="2"/>
  <c r="BF13" i="2"/>
  <c r="BF14" i="2"/>
  <c r="BF15" i="2"/>
  <c r="BF16" i="2"/>
  <c r="BF7" i="2"/>
  <c r="AX10" i="2"/>
  <c r="AX11" i="2"/>
  <c r="AX12" i="2"/>
  <c r="AX13" i="2"/>
  <c r="AX14" i="2"/>
  <c r="AX15" i="2"/>
  <c r="AX16" i="2"/>
  <c r="AX7" i="2"/>
  <c r="AX8" i="2"/>
  <c r="AX9" i="2"/>
  <c r="AS8" i="2"/>
  <c r="AS9" i="2"/>
  <c r="AS10" i="2"/>
  <c r="AS11" i="2"/>
  <c r="AS12" i="2"/>
  <c r="AS13" i="2"/>
  <c r="AS14" i="2"/>
  <c r="AS15" i="2"/>
  <c r="AS16" i="2"/>
  <c r="AS7" i="2"/>
  <c r="AG8" i="2"/>
  <c r="AG9" i="2"/>
  <c r="AG10" i="2"/>
  <c r="AG11" i="2"/>
  <c r="AG12" i="2"/>
  <c r="AG13" i="2"/>
  <c r="AG14" i="2"/>
  <c r="AG15" i="2"/>
  <c r="AG16" i="2"/>
  <c r="AG7" i="2"/>
  <c r="BG24" i="1"/>
  <c r="AY1" i="1"/>
  <c r="AF62" i="1"/>
  <c r="AS36" i="1"/>
  <c r="W76" i="1"/>
  <c r="AS38" i="1"/>
  <c r="AR38" i="1"/>
  <c r="AT38" i="1"/>
  <c r="AA36" i="1"/>
  <c r="AO24" i="1" l="1"/>
  <c r="Z38" i="1"/>
  <c r="AF78" i="1"/>
  <c r="AT28" i="1"/>
  <c r="AS44" i="1"/>
  <c r="AT30" i="1"/>
  <c r="AP28" i="1"/>
  <c r="AQ44" i="1"/>
  <c r="AZ44" i="1"/>
  <c r="CD11" i="2"/>
  <c r="AA38" i="1"/>
  <c r="BE38" i="1" s="1"/>
  <c r="AZ30" i="1"/>
  <c r="AQ38" i="1"/>
  <c r="AV40" i="1"/>
  <c r="Z68" i="1"/>
  <c r="AA30" i="1"/>
  <c r="BE30" i="1" s="1"/>
  <c r="AQ36" i="1"/>
  <c r="CC16" i="2"/>
  <c r="Y70" i="1"/>
  <c r="AU40" i="1"/>
  <c r="Z32" i="1"/>
  <c r="BF32" i="1" s="1"/>
  <c r="Y68" i="1"/>
  <c r="Z70" i="1"/>
  <c r="AF70" i="1"/>
  <c r="AU36" i="1"/>
  <c r="AQ34" i="1"/>
  <c r="AU28" i="1"/>
  <c r="AH59" i="1"/>
  <c r="AG59" i="1" s="1"/>
  <c r="AP42" i="1"/>
  <c r="AU30" i="1"/>
  <c r="AU38" i="1"/>
  <c r="AH62" i="1"/>
  <c r="AG62" i="1" s="1"/>
  <c r="Z76" i="1"/>
  <c r="AH70" i="1"/>
  <c r="AI78" i="1"/>
  <c r="AJ78" i="1"/>
  <c r="BD44" i="1" s="1"/>
  <c r="AN30" i="1"/>
  <c r="AI66" i="1"/>
  <c r="AR28" i="1"/>
  <c r="AT36" i="1"/>
  <c r="Y62" i="1"/>
  <c r="AS40" i="1"/>
  <c r="AU44" i="1"/>
  <c r="Y72" i="1"/>
  <c r="AA66" i="1"/>
  <c r="AS28" i="1"/>
  <c r="AD78" i="1"/>
  <c r="AP34" i="1"/>
  <c r="AH64" i="1"/>
  <c r="AG64" i="1" s="1"/>
  <c r="AH74" i="1"/>
  <c r="AG74" i="1" s="1"/>
  <c r="Z26" i="1"/>
  <c r="BF26" i="1" s="1"/>
  <c r="AF74" i="1"/>
  <c r="AG75" i="1"/>
  <c r="Y78" i="1"/>
  <c r="AF58" i="1"/>
  <c r="AH65" i="1"/>
  <c r="AG65" i="1" s="1"/>
  <c r="AH66" i="1"/>
  <c r="AG66" i="1" s="1"/>
  <c r="AH76" i="1"/>
  <c r="AG76" i="1" s="1"/>
  <c r="V64" i="1"/>
  <c r="O30" i="1"/>
  <c r="AQ24" i="1"/>
  <c r="AR26" i="1"/>
  <c r="AG63" i="1"/>
  <c r="BF30" i="1"/>
  <c r="AP24" i="1"/>
  <c r="AH60" i="1"/>
  <c r="AG60" i="1" s="1"/>
  <c r="AH68" i="1"/>
  <c r="AG68" i="1" s="1"/>
  <c r="AH78" i="1"/>
  <c r="AG78" i="1" s="1"/>
  <c r="S78" i="1"/>
  <c r="AD76" i="1"/>
  <c r="V62" i="1"/>
  <c r="AI72" i="1"/>
  <c r="AH61" i="1"/>
  <c r="AG61" i="1" s="1"/>
  <c r="AH69" i="1"/>
  <c r="AG69" i="1" s="1"/>
  <c r="AH72" i="1"/>
  <c r="AH58" i="1"/>
  <c r="Y64" i="1"/>
  <c r="AV28" i="1"/>
  <c r="CA16" i="2"/>
  <c r="BX16" i="2"/>
  <c r="AN42" i="1"/>
  <c r="O38" i="1"/>
  <c r="AP38" i="1"/>
  <c r="AP26" i="1"/>
  <c r="BF44" i="1"/>
  <c r="BF38" i="1"/>
  <c r="V78" i="1"/>
  <c r="AZ42" i="1"/>
  <c r="AB76" i="1"/>
  <c r="AX42" i="1"/>
  <c r="AG71" i="1"/>
  <c r="AD60" i="1"/>
  <c r="CC15" i="2"/>
  <c r="AJ74" i="1"/>
  <c r="BC40" i="1" s="1"/>
  <c r="CC14" i="2"/>
  <c r="CD14" i="2"/>
  <c r="S64" i="1"/>
  <c r="AG79" i="1"/>
  <c r="AG67" i="1"/>
  <c r="AG77" i="1"/>
  <c r="Y58" i="1"/>
  <c r="AF60" i="1"/>
  <c r="AS34" i="1"/>
  <c r="AR32" i="1"/>
  <c r="AT32" i="1"/>
  <c r="Y66" i="1"/>
  <c r="S76" i="1"/>
  <c r="AM32" i="1"/>
  <c r="AD66" i="1"/>
  <c r="AX44" i="1"/>
  <c r="Z64" i="1"/>
  <c r="AA26" i="1"/>
  <c r="BE26" i="1" s="1"/>
  <c r="AR34" i="1"/>
  <c r="AR44" i="1"/>
  <c r="AU32" i="1"/>
  <c r="AW42" i="1"/>
  <c r="AR42" i="1"/>
  <c r="AS26" i="1"/>
  <c r="AQ32" i="1"/>
  <c r="AS42" i="1"/>
  <c r="BE40" i="1"/>
  <c r="AF68" i="1"/>
  <c r="AF76" i="1"/>
  <c r="AQ26" i="1"/>
  <c r="CE17" i="2"/>
  <c r="AU42" i="1"/>
  <c r="AQ42" i="1"/>
  <c r="AV30" i="1"/>
  <c r="S72" i="1"/>
  <c r="AW34" i="1"/>
  <c r="AA62" i="1"/>
  <c r="CE15" i="2"/>
  <c r="AP30" i="1"/>
  <c r="AI76" i="1"/>
  <c r="AA24" i="1"/>
  <c r="BE24" i="1" s="1"/>
  <c r="O26" i="1"/>
  <c r="AS32" i="1"/>
  <c r="AA78" i="1"/>
  <c r="CD12" i="2"/>
  <c r="AB68" i="1"/>
  <c r="AZ34" i="1"/>
  <c r="AD68" i="1"/>
  <c r="V68" i="1"/>
  <c r="BY13" i="2"/>
  <c r="BY11" i="2"/>
  <c r="AW44" i="1"/>
  <c r="AP40" i="1"/>
  <c r="BY14" i="2"/>
  <c r="CA14" i="2"/>
  <c r="BX14" i="2"/>
  <c r="CA12" i="2"/>
  <c r="AN34" i="1"/>
  <c r="AP32" i="1"/>
  <c r="AN32" i="1"/>
  <c r="BE44" i="1"/>
  <c r="BF42" i="1"/>
  <c r="AO36" i="1"/>
  <c r="BF34" i="1"/>
  <c r="BZ17" i="2"/>
  <c r="BX17" i="2"/>
  <c r="BY17" i="2"/>
  <c r="BZ16" i="2"/>
  <c r="BX15" i="2"/>
  <c r="BY15" i="2"/>
  <c r="CA15" i="2"/>
  <c r="V72" i="1"/>
  <c r="AH73" i="1" s="1"/>
  <c r="AG73" i="1" s="1"/>
  <c r="AB72" i="1"/>
  <c r="AD72" i="1"/>
  <c r="AX38" i="1"/>
  <c r="AX36" i="1"/>
  <c r="BZ12" i="2"/>
  <c r="AX34" i="1"/>
  <c r="BX12" i="2"/>
  <c r="BZ11" i="2"/>
  <c r="AW32" i="1"/>
  <c r="V66" i="1"/>
  <c r="BX11" i="2"/>
  <c r="AB66" i="1"/>
  <c r="AX32" i="1"/>
  <c r="BY10" i="2"/>
  <c r="BZ10" i="2"/>
  <c r="BX10" i="2"/>
  <c r="O42" i="1"/>
  <c r="AA42" i="1" s="1"/>
  <c r="AM42" i="1"/>
  <c r="O34" i="1"/>
  <c r="AA34" i="1" s="1"/>
  <c r="AM34" i="1"/>
  <c r="CE16" i="2"/>
  <c r="AJ76" i="1"/>
  <c r="BD42" i="1" s="1"/>
  <c r="CE12" i="2"/>
  <c r="CE11" i="2"/>
  <c r="CC10" i="2"/>
  <c r="CD10" i="2"/>
  <c r="AO42" i="1"/>
  <c r="AM40" i="1"/>
  <c r="AN40" i="1"/>
  <c r="AO40" i="1"/>
  <c r="AM38" i="1"/>
  <c r="AN38" i="1"/>
  <c r="AJ72" i="1"/>
  <c r="BA38" i="1" s="1"/>
  <c r="AO38" i="1"/>
  <c r="AW38" i="1"/>
  <c r="S70" i="1"/>
  <c r="AW30" i="1"/>
  <c r="AO30" i="1"/>
  <c r="AM30" i="1"/>
  <c r="AV26" i="1"/>
  <c r="AO26" i="1"/>
  <c r="AI62" i="1"/>
  <c r="X62" i="1"/>
  <c r="AN28" i="1"/>
  <c r="CC9" i="2"/>
  <c r="Z62" i="1"/>
  <c r="BZ9" i="2"/>
  <c r="CA9" i="2"/>
  <c r="AD62" i="1"/>
  <c r="BX9" i="2"/>
  <c r="AB62" i="1"/>
  <c r="BE28" i="1"/>
  <c r="CE9" i="2"/>
  <c r="AW28" i="1"/>
  <c r="AX28" i="1" s="1"/>
  <c r="AO28" i="1"/>
  <c r="AM28" i="1"/>
  <c r="AX26" i="1"/>
  <c r="S60" i="1"/>
  <c r="AM26" i="1"/>
  <c r="AJ58" i="1"/>
  <c r="BC24" i="1" s="1"/>
  <c r="AM24" i="1"/>
  <c r="S58" i="1"/>
  <c r="AA51" i="1"/>
  <c r="AA85" i="1"/>
  <c r="AX40" i="1"/>
  <c r="H22" i="2"/>
  <c r="O40" i="1"/>
  <c r="Z40" i="1" s="1"/>
  <c r="AD64" i="1"/>
  <c r="AV42" i="1"/>
  <c r="AP44" i="1"/>
  <c r="AU34" i="1"/>
  <c r="CC17" i="2"/>
  <c r="AR30" i="1"/>
  <c r="AQ30" i="1"/>
  <c r="AD74" i="1"/>
  <c r="Z78" i="1"/>
  <c r="AJ68" i="1"/>
  <c r="AR24" i="1"/>
  <c r="AY34" i="1"/>
  <c r="O44" i="1"/>
  <c r="AI74" i="1"/>
  <c r="AA74" i="1"/>
  <c r="AB74" i="1"/>
  <c r="X58" i="1"/>
  <c r="AJ66" i="1"/>
  <c r="AU24" i="1"/>
  <c r="AJ64" i="1"/>
  <c r="AO32" i="1"/>
  <c r="AQ40" i="1"/>
  <c r="AR40" i="1"/>
  <c r="AS30" i="1"/>
  <c r="Z58" i="1"/>
  <c r="V74" i="1"/>
  <c r="AN44" i="1"/>
  <c r="AM44" i="1"/>
  <c r="AB60" i="1"/>
  <c r="AJ62" i="1"/>
  <c r="BB28" i="1" s="1"/>
  <c r="AY44" i="1"/>
  <c r="AX30" i="1"/>
  <c r="AW40" i="1"/>
  <c r="O28" i="1"/>
  <c r="Z28" i="1" s="1"/>
  <c r="BF28" i="1" s="1"/>
  <c r="AO34" i="1"/>
  <c r="AN24" i="1"/>
  <c r="AY42" i="1"/>
  <c r="O32" i="1"/>
  <c r="BE32" i="1"/>
  <c r="Y60" i="1"/>
  <c r="AB58" i="1"/>
  <c r="AY40" i="1"/>
  <c r="S74" i="1"/>
  <c r="AT24" i="1"/>
  <c r="BU7" i="2"/>
  <c r="AD24" i="1"/>
  <c r="AW24" i="1"/>
  <c r="AX24" i="1"/>
  <c r="BT8" i="2"/>
  <c r="BU8" i="2"/>
  <c r="CA8" i="2"/>
  <c r="BX8" i="2"/>
  <c r="BY8" i="2"/>
  <c r="V60" i="1"/>
  <c r="CC8" i="2"/>
  <c r="CD8" i="2"/>
  <c r="AW26" i="1"/>
  <c r="AJ60" i="1"/>
  <c r="BC26" i="1" s="1"/>
  <c r="AN26" i="1"/>
  <c r="CI18" i="2"/>
  <c r="Q20" i="2" s="1"/>
  <c r="AH83" i="1" s="1"/>
  <c r="AB70" i="1"/>
  <c r="AZ36" i="1"/>
  <c r="CD13" i="2"/>
  <c r="CF18" i="2"/>
  <c r="I20" i="2" s="1"/>
  <c r="AJ70" i="1"/>
  <c r="BD36" i="1" s="1"/>
  <c r="AI70" i="1"/>
  <c r="AD36" i="1"/>
  <c r="BF36" i="1"/>
  <c r="BT13" i="2"/>
  <c r="AD38" i="1"/>
  <c r="BT17" i="2"/>
  <c r="BT14" i="2"/>
  <c r="BX13" i="2"/>
  <c r="AW36" i="1"/>
  <c r="BZ13" i="2"/>
  <c r="CE13" i="2"/>
  <c r="O36" i="1"/>
  <c r="AN36" i="1"/>
  <c r="X70" i="1"/>
  <c r="AM36" i="1"/>
  <c r="BE36" i="1"/>
  <c r="AD70" i="1"/>
  <c r="BK18" i="2"/>
  <c r="CH18" i="2"/>
  <c r="N20" i="2" s="1"/>
  <c r="AE49" i="1" s="1"/>
  <c r="CG18" i="2"/>
  <c r="L20" i="2" s="1"/>
  <c r="AC83" i="1" s="1"/>
  <c r="CC7" i="2"/>
  <c r="CD7" i="2"/>
  <c r="S50" i="1"/>
  <c r="S84" i="1"/>
  <c r="BZ7" i="2"/>
  <c r="AI58" i="1"/>
  <c r="BF24" i="1"/>
  <c r="BX7" i="2"/>
  <c r="CA7" i="2"/>
  <c r="AZ24" i="1"/>
  <c r="AD58" i="1"/>
  <c r="BY7" i="2"/>
  <c r="O24" i="1"/>
  <c r="AA76" i="1" l="1"/>
  <c r="BE42" i="1"/>
  <c r="Z74" i="1"/>
  <c r="BF40" i="1"/>
  <c r="BE34" i="1"/>
  <c r="AA68" i="1"/>
  <c r="Z66" i="1"/>
  <c r="BA30" i="1"/>
  <c r="BC44" i="1"/>
  <c r="BA40" i="1"/>
  <c r="AJ40" i="1" s="1"/>
  <c r="R15" i="2" s="1"/>
  <c r="AG70" i="1"/>
  <c r="BB40" i="1"/>
  <c r="BA44" i="1"/>
  <c r="BB44" i="1"/>
  <c r="AG58" i="1"/>
  <c r="BC42" i="1"/>
  <c r="BD40" i="1"/>
  <c r="BB42" i="1"/>
  <c r="BA42" i="1"/>
  <c r="AJ42" i="1" s="1"/>
  <c r="R16" i="2" s="1"/>
  <c r="BB38" i="1"/>
  <c r="AY38" i="1" s="1"/>
  <c r="BD38" i="1"/>
  <c r="BC38" i="1"/>
  <c r="AG56" i="1"/>
  <c r="CE18" i="2"/>
  <c r="F20" i="2" s="1"/>
  <c r="W83" i="1" s="1"/>
  <c r="BZ18" i="2"/>
  <c r="F22" i="2" s="1"/>
  <c r="W85" i="1" s="1"/>
  <c r="BB30" i="1"/>
  <c r="AJ30" i="1" s="1"/>
  <c r="R10" i="2" s="1"/>
  <c r="BC30" i="1"/>
  <c r="BD30" i="1"/>
  <c r="F2" i="2"/>
  <c r="Y51" i="1"/>
  <c r="Y85" i="1"/>
  <c r="BY18" i="2"/>
  <c r="D22" i="2" s="1"/>
  <c r="U85" i="1" s="1"/>
  <c r="BC32" i="1"/>
  <c r="BD32" i="1"/>
  <c r="BA32" i="1"/>
  <c r="AY32" i="1" s="1"/>
  <c r="BB32" i="1"/>
  <c r="BC34" i="1"/>
  <c r="BA34" i="1"/>
  <c r="BD34" i="1"/>
  <c r="BB34" i="1"/>
  <c r="BD28" i="1"/>
  <c r="BA28" i="1"/>
  <c r="AY28" i="1" s="1"/>
  <c r="BC28" i="1"/>
  <c r="BC36" i="1"/>
  <c r="CD18" i="2"/>
  <c r="D20" i="2" s="1"/>
  <c r="U49" i="1" s="1"/>
  <c r="CC18" i="2"/>
  <c r="B20" i="2" s="1"/>
  <c r="S49" i="1" s="1"/>
  <c r="BD26" i="1"/>
  <c r="BB26" i="1"/>
  <c r="AH49" i="1"/>
  <c r="BA26" i="1"/>
  <c r="BA36" i="1"/>
  <c r="AJ36" i="1" s="1"/>
  <c r="R13" i="2" s="1"/>
  <c r="BB36" i="1"/>
  <c r="AG72" i="1"/>
  <c r="BX18" i="2"/>
  <c r="B22" i="2" s="1"/>
  <c r="S85" i="1" s="1"/>
  <c r="AE83" i="1"/>
  <c r="AC49" i="1"/>
  <c r="I19" i="2"/>
  <c r="Z48" i="1" s="1"/>
  <c r="BD24" i="1"/>
  <c r="BA24" i="1"/>
  <c r="BB24" i="1"/>
  <c r="Z83" i="1"/>
  <c r="Z49" i="1"/>
  <c r="W51" i="1" l="1"/>
  <c r="S51" i="1"/>
  <c r="AJ32" i="1"/>
  <c r="R11" i="2" s="1"/>
  <c r="AJ44" i="1"/>
  <c r="R17" i="2" s="1"/>
  <c r="AJ38" i="1"/>
  <c r="R14" i="2" s="1"/>
  <c r="AJ34" i="1"/>
  <c r="R12" i="2" s="1"/>
  <c r="AY26" i="1"/>
  <c r="AJ26" i="1" s="1"/>
  <c r="R8" i="2" s="1"/>
  <c r="AY24" i="1"/>
  <c r="AJ24" i="1"/>
  <c r="R7" i="2" s="1"/>
  <c r="W49" i="1"/>
  <c r="AJ28" i="1"/>
  <c r="R9" i="2" s="1"/>
  <c r="U51" i="1"/>
  <c r="B19" i="2"/>
  <c r="S48" i="1" s="1"/>
  <c r="S83" i="1"/>
  <c r="U83" i="1"/>
  <c r="S8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Enrico Rho</author>
  </authors>
  <commentList>
    <comment ref="AY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Enrico Rho:</t>
        </r>
        <r>
          <rPr>
            <sz val="9"/>
            <color indexed="81"/>
            <rFont val="Tahoma"/>
            <family val="2"/>
          </rPr>
          <t xml:space="preserve">
FORMULA TECNOINOX MONTATO , NON ELIMINARE !</t>
        </r>
      </text>
    </comment>
  </commentList>
</comments>
</file>

<file path=xl/sharedStrings.xml><?xml version="1.0" encoding="utf-8"?>
<sst xmlns="http://schemas.openxmlformats.org/spreadsheetml/2006/main" count="302" uniqueCount="165">
  <si>
    <t>Profondità</t>
  </si>
  <si>
    <t>(mm)</t>
  </si>
  <si>
    <t>***</t>
  </si>
  <si>
    <t>Altezza</t>
  </si>
  <si>
    <t>Prof / Base</t>
  </si>
  <si>
    <t>DESIGN SIDE VETRO TRASPARENTE C/ATTACCO (Grigio-Bianco-Antracite)</t>
  </si>
  <si>
    <t>TOP</t>
  </si>
  <si>
    <t>Q.TA'</t>
  </si>
  <si>
    <t>COLORE</t>
  </si>
  <si>
    <t>H</t>
  </si>
  <si>
    <t>PROF.</t>
  </si>
  <si>
    <t>GUIDA</t>
  </si>
  <si>
    <t>X</t>
  </si>
  <si>
    <t>SPONDA</t>
  </si>
  <si>
    <t>LISTINODACOMPORREARCITECH"PREZZINETTI"</t>
  </si>
  <si>
    <t>SPONDE</t>
  </si>
  <si>
    <t>ATTACCORETRO(Grigio-Bianco-Antracite)</t>
  </si>
  <si>
    <t>CLIENTE:</t>
  </si>
  <si>
    <t>CONSEGNA:</t>
  </si>
  <si>
    <t>GUIDEACTRO</t>
  </si>
  <si>
    <t>€cad.</t>
  </si>
  <si>
    <t>RINGHIERINEKIT1^rigagrigio-bianco-antracite(2^rigaacciaioinox-INESAURIM)</t>
  </si>
  <si>
    <t>NOTE:</t>
  </si>
  <si>
    <t>TOPSIDEALLUMINIO(Grigio-Bianco-Antracite)</t>
  </si>
  <si>
    <t xml:space="preserve"> </t>
  </si>
  <si>
    <t>BIANCO-GRIGIO-ANTRACITE , H</t>
  </si>
  <si>
    <t>INOX-INESAURIMENTO , H</t>
  </si>
  <si>
    <t>ATTACCO RETRO</t>
  </si>
  <si>
    <t>GUIDE</t>
  </si>
  <si>
    <t>TOT. C/SS</t>
  </si>
  <si>
    <t>PUSH  /  HPTO</t>
  </si>
  <si>
    <t>ATTACCO FRONTALE CASSETTO INTERNO</t>
  </si>
  <si>
    <t>BARRA FRONTALE CASSETTO INTERNO</t>
  </si>
  <si>
    <t>RINGHIERINA FRONTALE CASSETTO INTERNO H.186/218</t>
  </si>
  <si>
    <t>BARRA FRONT. INTERNO</t>
  </si>
  <si>
    <t>RINGH. FRONT. INTERNO</t>
  </si>
  <si>
    <t>RINGH. LATO</t>
  </si>
  <si>
    <t>DOPPIA RINGH. LATO</t>
  </si>
  <si>
    <t>SOTTOLAVELLO C/DOPPIA SPONDA</t>
  </si>
  <si>
    <t>MONTAGGIO CASSETTO</t>
  </si>
  <si>
    <t>MONTAGGIO PORTAPENTOLE</t>
  </si>
  <si>
    <t>SOTTO LAVELLO TECNOINOX</t>
  </si>
  <si>
    <t>MONTAGGIO</t>
  </si>
  <si>
    <t>SOTTOLAVELLO TECNOINOX L 860</t>
  </si>
  <si>
    <t>SOTTOLAVELLO TECNOINOX L 1160</t>
  </si>
  <si>
    <t>SOTTO LAVELLO</t>
  </si>
  <si>
    <t>LARGHEZZA STANDARDIZZATA</t>
  </si>
  <si>
    <t>TOP SIDE</t>
  </si>
  <si>
    <t>DES. SIDE</t>
  </si>
  <si>
    <t>CASS. INTERNO</t>
  </si>
  <si>
    <t>H. TOT.</t>
  </si>
  <si>
    <t>RINGH</t>
  </si>
  <si>
    <t>NO</t>
  </si>
  <si>
    <t>DATA ORDINE:</t>
  </si>
  <si>
    <t>LUCE VANO</t>
  </si>
  <si>
    <t>CASSETTO IN METALLO - ARCITECH (SOTTOLAVELLO)</t>
  </si>
  <si>
    <t>CASSETTO C/KIT SOTTOVASCA (fondo e divisori in metallo)</t>
  </si>
  <si>
    <t>Pag.4.7</t>
  </si>
  <si>
    <t>CASSETTO C/DOPPIA SPONDA (fondo/retro in multistrato) - Richiedere preventivo</t>
  </si>
  <si>
    <t>FONDO NOB.</t>
  </si>
  <si>
    <t>RETRO NOB.</t>
  </si>
  <si>
    <t>RIF.:</t>
  </si>
  <si>
    <t>LARGHEZZA FONDO</t>
  </si>
  <si>
    <t>LARGHEZZA RETRO</t>
  </si>
  <si>
    <t xml:space="preserve">DESIGNSIDE: H92 BASSO TUTTI COLORI </t>
  </si>
  <si>
    <t>TOPSIDE: H92 H124 TUTTO TRANNE ACCIAIO</t>
  </si>
  <si>
    <t>TOPSIDE: A PARTIRE DALLA PROF. 400MM</t>
  </si>
  <si>
    <t>CASS. INTERNI MAX H218MM</t>
  </si>
  <si>
    <t>PUSH TO OPEN SILENT</t>
  </si>
  <si>
    <t>HPTO20</t>
  </si>
  <si>
    <t>H94 / H126 TUTTE LE LARG.</t>
  </si>
  <si>
    <t>H186 / H218 / H250 / H282 FINO A LARG. 600MM</t>
  </si>
  <si>
    <t>HPTO40</t>
  </si>
  <si>
    <t>H186 / H218 / H250 / H282 DA LARG. 610MM</t>
  </si>
  <si>
    <t>HPTOASTA</t>
  </si>
  <si>
    <t>SOLO SU RICHIESTA</t>
  </si>
  <si>
    <t>SMONTATO , CON FONDO E RETRO</t>
  </si>
  <si>
    <t>RINGH. FRONT. INT.TOP</t>
  </si>
  <si>
    <t>RINGH. FRONT. INT.DES</t>
  </si>
  <si>
    <t>10 pz</t>
  </si>
  <si>
    <t>MULTISTRATO</t>
  </si>
  <si>
    <t>BASE MM.900 €  + Costo cass. Smontato</t>
  </si>
  <si>
    <t>BASE MM.1200 €+ Costo cass. Smontato</t>
  </si>
  <si>
    <t xml:space="preserve">Esempio: c/cassetto h.94 mm.500-montato per base mm.900 € </t>
  </si>
  <si>
    <t>FONDI NOBILITATO</t>
  </si>
  <si>
    <t>RETRI NOBILITATO</t>
  </si>
  <si>
    <t>FONDI MULTISTRATO</t>
  </si>
  <si>
    <t>FONDO LAMINATO</t>
  </si>
  <si>
    <t>RETRO LAMINATO</t>
  </si>
  <si>
    <t>RETRI MULTISTRATO</t>
  </si>
  <si>
    <t>MONTAGGIO CASSETTO larghezza OLTRE  1164 mm</t>
  </si>
  <si>
    <t>gennaio '22</t>
  </si>
  <si>
    <t>ATT.FRONT.INTERNO + montaggio</t>
  </si>
  <si>
    <t>CITTA' :</t>
  </si>
  <si>
    <t>RIFERIMENTO :</t>
  </si>
  <si>
    <t>H. SPONDA</t>
  </si>
  <si>
    <t>P</t>
  </si>
  <si>
    <t>ANTRACITE</t>
  </si>
  <si>
    <t>A</t>
  </si>
  <si>
    <t>B</t>
  </si>
  <si>
    <t>C</t>
  </si>
  <si>
    <t>D</t>
  </si>
  <si>
    <t>E</t>
  </si>
  <si>
    <t>F</t>
  </si>
  <si>
    <t>G</t>
  </si>
  <si>
    <t>I</t>
  </si>
  <si>
    <t>L</t>
  </si>
  <si>
    <t>ARGENTO</t>
  </si>
  <si>
    <t>BIANCO</t>
  </si>
  <si>
    <t>SI</t>
  </si>
  <si>
    <t>1R</t>
  </si>
  <si>
    <t>2R</t>
  </si>
  <si>
    <t>M</t>
  </si>
  <si>
    <t>RINGHIERINE</t>
  </si>
  <si>
    <t>DES.SIDE</t>
  </si>
  <si>
    <t>N</t>
  </si>
  <si>
    <t>Q</t>
  </si>
  <si>
    <t>PUSH</t>
  </si>
  <si>
    <t>PLASTICA</t>
  </si>
  <si>
    <t>STANDARD</t>
  </si>
  <si>
    <t>SOTTOLAVELLO</t>
  </si>
  <si>
    <t>S</t>
  </si>
  <si>
    <t>864-1164</t>
  </si>
  <si>
    <t>T</t>
  </si>
  <si>
    <t>U</t>
  </si>
  <si>
    <t>_A1</t>
  </si>
  <si>
    <t>_A2</t>
  </si>
  <si>
    <t>_A3</t>
  </si>
  <si>
    <t>_A4</t>
  </si>
  <si>
    <t>_A5</t>
  </si>
  <si>
    <t>_A6</t>
  </si>
  <si>
    <t>TIPOLOGIA</t>
  </si>
  <si>
    <t>DD</t>
  </si>
  <si>
    <t>PORTATA</t>
  </si>
  <si>
    <t>H SPONDE INTERNE</t>
  </si>
  <si>
    <t>BARRA SINCRO</t>
  </si>
  <si>
    <t>INTERNO</t>
  </si>
  <si>
    <t>PORTATA GUIDA</t>
  </si>
  <si>
    <t>RIF:</t>
  </si>
  <si>
    <t>EMSLGRA</t>
  </si>
  <si>
    <t>EMSLBI</t>
  </si>
  <si>
    <t>EMSLGRI</t>
  </si>
  <si>
    <t>SOTTOLAV PLASTICA</t>
  </si>
  <si>
    <t>HPTO70</t>
  </si>
  <si>
    <t>SOLO CON GUIDA 70 KG</t>
  </si>
  <si>
    <t>KITVASCA</t>
  </si>
  <si>
    <t>KITVASCAB</t>
  </si>
  <si>
    <t>KITVASCA120</t>
  </si>
  <si>
    <t>KITVASCA120B</t>
  </si>
  <si>
    <t>SOTTOLAV STANDARD</t>
  </si>
  <si>
    <t>NOTE :</t>
  </si>
  <si>
    <t>ASTA SINCRONIZZATRICE L2000mm</t>
  </si>
  <si>
    <t>CITTA':</t>
  </si>
  <si>
    <t>CLIENTE :</t>
  </si>
  <si>
    <t xml:space="preserve">Esempio: c/cassetto h.94 mm.500-montato per base mm.600 c/sponda interna h.94prof.350 € </t>
  </si>
  <si>
    <t>RITIRA CLIENTE</t>
  </si>
  <si>
    <t>CONSEGNA VPA</t>
  </si>
  <si>
    <t>IMBALLO CORRIERE VPA</t>
  </si>
  <si>
    <t>IMBALLO CORRIERE DEL CLIENTE</t>
  </si>
  <si>
    <t>AL PRONTO :</t>
  </si>
  <si>
    <t>CLICCA QUI</t>
  </si>
  <si>
    <t>SU MISURA TECNOINOX</t>
  </si>
  <si>
    <t>&lt;1164</t>
  </si>
  <si>
    <t>Z</t>
  </si>
  <si>
    <t>CASSETTI ARCITECH V.4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</si>
</sst>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#,##0.00\ &quot;€&quot;;\-#,##0.00\ &quot;€&quot;"/>
    <numFmt numFmtId="164" formatCode="&quot;€&quot;\ #,##0.00;[Red]\-&quot;€&quot;\ #,##0.00"/>
    <numFmt numFmtId="165" formatCode="_-&quot;€&quot;\ * #,##0.00_-;\-&quot;€&quot;\ * #,##0.00_-;_-&quot;€&quot;\ * &quot;-&quot;??_-;_-@_-"/>
    <numFmt numFmtId="166" formatCode="&quot;€&quot;\ #,##0.00"/>
    <numFmt numFmtId="167" formatCode="#,##0.00\ &quot;€&quot;"/>
  </numFmts>
  <fonts count="62">
    <font>
      <sz val="11"/>
      <color theme="1"/>
      <name val="Calibri"/>
      <family val="2"/>
      <scheme val="minor"/>
    </font>
    <font>
      <sz val="10"/>
      <name val="Comic Sans MS"/>
      <family val="4"/>
    </font>
    <font>
      <b/>
      <sz val="10"/>
      <name val="Comic Sans MS"/>
      <family val="4"/>
    </font>
    <font>
      <sz val="10"/>
      <name val="Lucida Sans"/>
      <family val="2"/>
    </font>
    <font>
      <b/>
      <sz val="10"/>
      <name val="Lucida Sans"/>
      <family val="2"/>
    </font>
    <font>
      <b/>
      <sz val="12"/>
      <name val="Lucida Sans"/>
      <family val="2"/>
    </font>
    <font>
      <b/>
      <sz val="11"/>
      <name val="Lucida Sans"/>
      <family val="2"/>
    </font>
    <font>
      <i/>
      <sz val="12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i/>
      <sz val="14"/>
      <name val="Times New Roman"/>
      <family val="1"/>
    </font>
    <font>
      <sz val="8"/>
      <name val="Arial"/>
      <family val="2"/>
    </font>
    <font>
      <sz val="8"/>
      <name val="Calibri"/>
      <family val="2"/>
    </font>
    <font>
      <sz val="11"/>
      <name val="Arial"/>
      <family val="2"/>
    </font>
    <font>
      <b/>
      <sz val="11"/>
      <name val="Segoe UI Light"/>
      <family val="2"/>
    </font>
    <font>
      <sz val="10"/>
      <name val="Segoe UI Light"/>
      <family val="2"/>
    </font>
    <font>
      <sz val="8"/>
      <name val="Segoe UI Light"/>
      <family val="2"/>
    </font>
    <font>
      <sz val="7"/>
      <name val="Arial"/>
      <family val="2"/>
    </font>
    <font>
      <b/>
      <i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4"/>
      <name val="Arial"/>
      <family val="2"/>
    </font>
    <font>
      <b/>
      <sz val="10"/>
      <name val="Arial"/>
      <family val="2"/>
    </font>
    <font>
      <sz val="18"/>
      <name val="Arial"/>
      <family val="2"/>
    </font>
    <font>
      <sz val="10"/>
      <name val="Helvetica"/>
      <family val="2"/>
    </font>
    <font>
      <b/>
      <i/>
      <sz val="14"/>
      <name val="Arial"/>
      <family val="2"/>
    </font>
    <font>
      <b/>
      <i/>
      <sz val="15"/>
      <name val="Times New Roman"/>
      <family val="1"/>
    </font>
    <font>
      <b/>
      <i/>
      <sz val="11"/>
      <name val="Arial"/>
      <family val="2"/>
    </font>
    <font>
      <sz val="10"/>
      <name val="Helvetica Light"/>
      <family val="3"/>
    </font>
    <font>
      <sz val="9"/>
      <name val="Arial"/>
      <family val="2"/>
    </font>
    <font>
      <sz val="8"/>
      <name val="Calibri"/>
      <family val="2"/>
    </font>
    <font>
      <sz val="13"/>
      <name val="Arial"/>
      <family val="2"/>
    </font>
    <font>
      <b/>
      <i/>
      <sz val="12"/>
      <name val="Arial"/>
      <family val="2"/>
    </font>
    <font>
      <sz val="10"/>
      <color theme="1"/>
      <name val="Segoe UI Light"/>
      <family val="2"/>
    </font>
    <font>
      <i/>
      <sz val="10"/>
      <color theme="1"/>
      <name val="Helvetica"/>
      <family val="2"/>
    </font>
    <font>
      <i/>
      <sz val="14"/>
      <color theme="1"/>
      <name val="Helvetica"/>
      <family val="2"/>
    </font>
    <font>
      <i/>
      <sz val="12"/>
      <color theme="1"/>
      <name val="Helvetica"/>
      <family val="2"/>
    </font>
    <font>
      <i/>
      <sz val="16"/>
      <color theme="1"/>
      <name val="Helvetica"/>
      <family val="2"/>
    </font>
    <font>
      <sz val="16"/>
      <color theme="1"/>
      <name val="Calibri"/>
      <family val="2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4"/>
      <color theme="1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7"/>
      <color theme="1"/>
      <name val="Calibri"/>
      <family val="2"/>
      <scheme val="minor"/>
    </font>
    <font>
      <sz val="12"/>
      <color theme="1"/>
      <name val="Arial"/>
      <family val="2"/>
    </font>
    <font>
      <sz val="7"/>
      <color theme="1"/>
      <name val="Arial"/>
      <family val="2"/>
    </font>
    <font>
      <sz val="8.5"/>
      <color theme="1"/>
      <name val="Arial"/>
      <family val="2"/>
    </font>
    <font>
      <sz val="3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Calibri"/>
      <family val="2"/>
    </font>
    <font>
      <sz val="28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Arial"/>
      <family val="2"/>
    </font>
    <font>
      <sz val="9"/>
      <color theme="1"/>
      <name val="Calibri"/>
      <family val="2"/>
    </font>
    <font>
      <sz val="18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gradientFill degree="180">
        <stop position="0">
          <color theme="0" tint="-0.1490218817712943"/>
        </stop>
        <stop position="1">
          <color theme="4"/>
        </stop>
      </gradient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gradientFill degree="180">
        <stop position="0">
          <color theme="0" tint="-0.49803155613879818"/>
        </stop>
        <stop position="1">
          <color theme="4"/>
        </stop>
      </gradientFill>
    </fill>
    <fill>
      <gradientFill degree="270">
        <stop position="0">
          <color theme="0"/>
        </stop>
        <stop position="1">
          <color rgb="FFFFFF75"/>
        </stop>
      </gradientFill>
    </fill>
    <fill>
      <gradientFill>
        <stop position="0">
          <color theme="0"/>
        </stop>
        <stop position="1">
          <color rgb="FFFFFF00"/>
        </stop>
      </gradientFill>
    </fill>
  </fills>
  <borders count="8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">
    <xf numFmtId="0" fontId="0" fillId="0" borderId="0"/>
    <xf numFmtId="0" fontId="10" fillId="0" borderId="0"/>
  </cellStyleXfs>
  <cellXfs count="391">
    <xf numFmtId="0" fontId="0" fillId="0" borderId="0" xfId="0"/>
    <xf numFmtId="0" fontId="3" fillId="0" borderId="0" xfId="0" applyFont="1"/>
    <xf numFmtId="0" fontId="0" fillId="3" borderId="0" xfId="0" applyFill="1"/>
    <xf numFmtId="0" fontId="16" fillId="4" borderId="1" xfId="1" applyFont="1" applyFill="1" applyBorder="1" applyAlignment="1">
      <alignment horizontal="left" vertical="center"/>
    </xf>
    <xf numFmtId="0" fontId="17" fillId="4" borderId="2" xfId="1" applyFont="1" applyFill="1" applyBorder="1" applyAlignment="1">
      <alignment vertical="center"/>
    </xf>
    <xf numFmtId="0" fontId="17" fillId="4" borderId="3" xfId="1" applyFont="1" applyFill="1" applyBorder="1" applyAlignment="1">
      <alignment horizontal="right" vertical="center"/>
    </xf>
    <xf numFmtId="0" fontId="0" fillId="2" borderId="0" xfId="0" applyFill="1"/>
    <xf numFmtId="0" fontId="3" fillId="2" borderId="0" xfId="0" applyFont="1" applyFill="1"/>
    <xf numFmtId="165" fontId="17" fillId="2" borderId="0" xfId="1" applyNumberFormat="1" applyFont="1" applyFill="1" applyAlignment="1">
      <alignment horizontal="center" vertical="center"/>
    </xf>
    <xf numFmtId="0" fontId="35" fillId="2" borderId="0" xfId="0" applyFont="1" applyFill="1"/>
    <xf numFmtId="0" fontId="35" fillId="2" borderId="2" xfId="0" applyFont="1" applyFill="1" applyBorder="1"/>
    <xf numFmtId="0" fontId="35" fillId="2" borderId="3" xfId="0" applyFont="1" applyFill="1" applyBorder="1"/>
    <xf numFmtId="165" fontId="18" fillId="2" borderId="0" xfId="1" applyNumberFormat="1" applyFont="1" applyFill="1" applyAlignment="1">
      <alignment horizontal="right" vertical="center"/>
    </xf>
    <xf numFmtId="0" fontId="17" fillId="2" borderId="0" xfId="1" applyFont="1" applyFill="1" applyAlignment="1">
      <alignment horizontal="left" vertical="center"/>
    </xf>
    <xf numFmtId="165" fontId="17" fillId="2" borderId="2" xfId="1" applyNumberFormat="1" applyFont="1" applyFill="1" applyBorder="1" applyAlignment="1">
      <alignment horizontal="center" vertical="center"/>
    </xf>
    <xf numFmtId="165" fontId="17" fillId="2" borderId="3" xfId="1" applyNumberFormat="1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vertical="center"/>
    </xf>
    <xf numFmtId="0" fontId="37" fillId="2" borderId="5" xfId="0" applyFont="1" applyFill="1" applyBorder="1" applyAlignment="1">
      <alignment vertical="center"/>
    </xf>
    <xf numFmtId="0" fontId="0" fillId="2" borderId="6" xfId="0" applyFill="1" applyBorder="1"/>
    <xf numFmtId="0" fontId="0" fillId="2" borderId="7" xfId="0" applyFill="1" applyBorder="1"/>
    <xf numFmtId="0" fontId="15" fillId="2" borderId="0" xfId="0" applyFont="1" applyFill="1" applyAlignment="1" applyProtection="1">
      <alignment horizontal="center" vertical="center"/>
      <protection hidden="1"/>
    </xf>
    <xf numFmtId="0" fontId="38" fillId="2" borderId="8" xfId="0" applyFont="1" applyFill="1" applyBorder="1" applyAlignment="1">
      <alignment vertical="center"/>
    </xf>
    <xf numFmtId="0" fontId="37" fillId="2" borderId="9" xfId="0" applyFont="1" applyFill="1" applyBorder="1" applyAlignment="1">
      <alignment vertical="center"/>
    </xf>
    <xf numFmtId="0" fontId="0" fillId="2" borderId="10" xfId="0" applyFill="1" applyBorder="1"/>
    <xf numFmtId="0" fontId="38" fillId="2" borderId="11" xfId="0" applyFont="1" applyFill="1" applyBorder="1" applyAlignment="1">
      <alignment vertical="center"/>
    </xf>
    <xf numFmtId="0" fontId="38" fillId="2" borderId="12" xfId="0" applyFont="1" applyFill="1" applyBorder="1" applyAlignment="1">
      <alignment vertical="center"/>
    </xf>
    <xf numFmtId="0" fontId="37" fillId="2" borderId="13" xfId="0" applyFont="1" applyFill="1" applyBorder="1" applyAlignment="1">
      <alignment vertical="center"/>
    </xf>
    <xf numFmtId="0" fontId="26" fillId="2" borderId="8" xfId="0" applyFont="1" applyFill="1" applyBorder="1"/>
    <xf numFmtId="0" fontId="37" fillId="2" borderId="14" xfId="0" applyFont="1" applyFill="1" applyBorder="1" applyAlignment="1">
      <alignment vertical="center"/>
    </xf>
    <xf numFmtId="0" fontId="37" fillId="2" borderId="15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39" fillId="2" borderId="16" xfId="0" applyFont="1" applyFill="1" applyBorder="1" applyAlignment="1">
      <alignment vertical="center"/>
    </xf>
    <xf numFmtId="0" fontId="37" fillId="2" borderId="16" xfId="0" applyFont="1" applyFill="1" applyBorder="1" applyAlignment="1">
      <alignment vertical="center"/>
    </xf>
    <xf numFmtId="0" fontId="4" fillId="2" borderId="0" xfId="0" applyFont="1" applyFill="1" applyAlignment="1">
      <alignment horizontal="right"/>
    </xf>
    <xf numFmtId="0" fontId="26" fillId="2" borderId="17" xfId="0" applyFont="1" applyFill="1" applyBorder="1"/>
    <xf numFmtId="0" fontId="37" fillId="2" borderId="18" xfId="0" applyFont="1" applyFill="1" applyBorder="1" applyAlignment="1">
      <alignment vertical="center"/>
    </xf>
    <xf numFmtId="0" fontId="0" fillId="2" borderId="19" xfId="0" applyFill="1" applyBorder="1"/>
    <xf numFmtId="0" fontId="0" fillId="2" borderId="20" xfId="0" applyFill="1" applyBorder="1"/>
    <xf numFmtId="0" fontId="0" fillId="3" borderId="0" xfId="0" applyFill="1" applyAlignment="1">
      <alignment horizontal="center"/>
    </xf>
    <xf numFmtId="1" fontId="23" fillId="3" borderId="0" xfId="0" applyNumberFormat="1" applyFont="1" applyFill="1" applyAlignment="1" applyProtection="1">
      <alignment horizontal="center" vertical="center"/>
      <protection locked="0"/>
    </xf>
    <xf numFmtId="0" fontId="15" fillId="3" borderId="0" xfId="0" applyFont="1" applyFill="1" applyAlignment="1" applyProtection="1">
      <alignment horizontal="center" vertical="center"/>
      <protection hidden="1"/>
    </xf>
    <xf numFmtId="2" fontId="0" fillId="3" borderId="0" xfId="0" applyNumberFormat="1" applyFill="1" applyAlignment="1">
      <alignment horizont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left" vertical="center" wrapText="1"/>
    </xf>
    <xf numFmtId="0" fontId="30" fillId="0" borderId="0" xfId="1" applyFont="1" applyAlignment="1">
      <alignment vertical="center"/>
    </xf>
    <xf numFmtId="14" fontId="7" fillId="2" borderId="0" xfId="0" applyNumberFormat="1" applyFont="1" applyFill="1" applyAlignment="1">
      <alignment horizontal="center" vertical="center"/>
    </xf>
    <xf numFmtId="0" fontId="8" fillId="2" borderId="0" xfId="0" applyFont="1" applyFill="1"/>
    <xf numFmtId="0" fontId="0" fillId="5" borderId="0" xfId="0" applyFill="1"/>
    <xf numFmtId="0" fontId="41" fillId="5" borderId="0" xfId="0" applyFont="1" applyFill="1"/>
    <xf numFmtId="0" fontId="42" fillId="5" borderId="0" xfId="0" applyFont="1" applyFill="1"/>
    <xf numFmtId="0" fontId="42" fillId="5" borderId="21" xfId="0" applyFont="1" applyFill="1" applyBorder="1" applyAlignment="1">
      <alignment horizontal="center" vertical="center"/>
    </xf>
    <xf numFmtId="0" fontId="42" fillId="5" borderId="22" xfId="0" applyFont="1" applyFill="1" applyBorder="1" applyAlignment="1">
      <alignment horizontal="center" vertical="center"/>
    </xf>
    <xf numFmtId="0" fontId="41" fillId="5" borderId="0" xfId="0" applyFont="1" applyFill="1" applyAlignment="1">
      <alignment horizontal="center" vertical="center"/>
    </xf>
    <xf numFmtId="0" fontId="42" fillId="5" borderId="23" xfId="0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43" fillId="5" borderId="0" xfId="0" applyFont="1" applyFill="1" applyAlignment="1">
      <alignment horizontal="center" vertical="center"/>
    </xf>
    <xf numFmtId="0" fontId="10" fillId="5" borderId="24" xfId="0" applyFont="1" applyFill="1" applyBorder="1" applyAlignment="1">
      <alignment horizontal="center" vertical="center"/>
    </xf>
    <xf numFmtId="0" fontId="10" fillId="5" borderId="25" xfId="0" applyFont="1" applyFill="1" applyBorder="1" applyAlignment="1">
      <alignment horizontal="center" vertical="center"/>
    </xf>
    <xf numFmtId="0" fontId="10" fillId="5" borderId="26" xfId="0" applyFont="1" applyFill="1" applyBorder="1" applyAlignment="1">
      <alignment horizontal="center" vertical="center"/>
    </xf>
    <xf numFmtId="0" fontId="10" fillId="5" borderId="27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42" fillId="5" borderId="0" xfId="0" applyFont="1" applyFill="1" applyAlignment="1">
      <alignment horizontal="center" vertical="center"/>
    </xf>
    <xf numFmtId="0" fontId="42" fillId="5" borderId="28" xfId="0" applyFont="1" applyFill="1" applyBorder="1" applyAlignment="1">
      <alignment horizontal="center" vertical="center"/>
    </xf>
    <xf numFmtId="0" fontId="42" fillId="5" borderId="29" xfId="0" applyFont="1" applyFill="1" applyBorder="1" applyAlignment="1">
      <alignment horizontal="center" vertical="center"/>
    </xf>
    <xf numFmtId="0" fontId="10" fillId="5" borderId="30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42" fillId="5" borderId="13" xfId="0" applyFont="1" applyFill="1" applyBorder="1" applyAlignment="1">
      <alignment horizontal="center" vertical="center"/>
    </xf>
    <xf numFmtId="0" fontId="42" fillId="5" borderId="31" xfId="0" applyFont="1" applyFill="1" applyBorder="1" applyAlignment="1">
      <alignment horizontal="center" vertical="center"/>
    </xf>
    <xf numFmtId="0" fontId="42" fillId="5" borderId="14" xfId="0" applyFont="1" applyFill="1" applyBorder="1" applyAlignment="1">
      <alignment horizontal="center" vertical="center"/>
    </xf>
    <xf numFmtId="0" fontId="42" fillId="5" borderId="32" xfId="0" applyFont="1" applyFill="1" applyBorder="1" applyAlignment="1">
      <alignment horizontal="center" vertical="center"/>
    </xf>
    <xf numFmtId="0" fontId="42" fillId="5" borderId="33" xfId="0" applyFont="1" applyFill="1" applyBorder="1" applyAlignment="1">
      <alignment horizontal="center" vertical="center"/>
    </xf>
    <xf numFmtId="0" fontId="42" fillId="5" borderId="34" xfId="0" applyFont="1" applyFill="1" applyBorder="1" applyAlignment="1">
      <alignment horizontal="center" vertical="center"/>
    </xf>
    <xf numFmtId="0" fontId="42" fillId="5" borderId="35" xfId="0" applyFont="1" applyFill="1" applyBorder="1" applyAlignment="1">
      <alignment horizontal="center" vertical="center"/>
    </xf>
    <xf numFmtId="0" fontId="42" fillId="5" borderId="36" xfId="0" applyFont="1" applyFill="1" applyBorder="1" applyAlignment="1">
      <alignment horizontal="center" vertical="center"/>
    </xf>
    <xf numFmtId="0" fontId="42" fillId="5" borderId="33" xfId="0" applyFont="1" applyFill="1" applyBorder="1" applyAlignment="1">
      <alignment horizontal="left" vertical="center"/>
    </xf>
    <xf numFmtId="0" fontId="42" fillId="5" borderId="0" xfId="0" applyFont="1" applyFill="1" applyAlignment="1">
      <alignment horizontal="right" vertical="center"/>
    </xf>
    <xf numFmtId="0" fontId="42" fillId="5" borderId="0" xfId="0" applyFont="1" applyFill="1" applyAlignment="1">
      <alignment vertical="center"/>
    </xf>
    <xf numFmtId="0" fontId="42" fillId="5" borderId="37" xfId="0" applyFont="1" applyFill="1" applyBorder="1" applyAlignment="1">
      <alignment horizontal="center" vertical="center"/>
    </xf>
    <xf numFmtId="0" fontId="41" fillId="5" borderId="21" xfId="0" applyFont="1" applyFill="1" applyBorder="1" applyAlignment="1">
      <alignment horizontal="center" vertical="center"/>
    </xf>
    <xf numFmtId="0" fontId="41" fillId="5" borderId="21" xfId="0" applyFont="1" applyFill="1" applyBorder="1"/>
    <xf numFmtId="0" fontId="41" fillId="5" borderId="32" xfId="0" applyFont="1" applyFill="1" applyBorder="1"/>
    <xf numFmtId="0" fontId="10" fillId="5" borderId="38" xfId="0" applyFont="1" applyFill="1" applyBorder="1" applyAlignment="1">
      <alignment horizontal="center" vertical="center"/>
    </xf>
    <xf numFmtId="0" fontId="10" fillId="5" borderId="34" xfId="0" applyFont="1" applyFill="1" applyBorder="1" applyAlignment="1">
      <alignment horizontal="center" vertical="center"/>
    </xf>
    <xf numFmtId="0" fontId="10" fillId="5" borderId="35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42" fillId="5" borderId="39" xfId="0" applyFont="1" applyFill="1" applyBorder="1" applyAlignment="1">
      <alignment horizontal="center" vertical="center"/>
    </xf>
    <xf numFmtId="0" fontId="41" fillId="5" borderId="23" xfId="0" applyFont="1" applyFill="1" applyBorder="1"/>
    <xf numFmtId="0" fontId="2" fillId="2" borderId="0" xfId="0" applyFont="1" applyFill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0" fontId="42" fillId="0" borderId="0" xfId="0" applyFont="1" applyAlignment="1">
      <alignment horizontal="right"/>
    </xf>
    <xf numFmtId="0" fontId="41" fillId="5" borderId="28" xfId="0" applyFont="1" applyFill="1" applyBorder="1"/>
    <xf numFmtId="0" fontId="41" fillId="5" borderId="40" xfId="0" applyFont="1" applyFill="1" applyBorder="1"/>
    <xf numFmtId="0" fontId="42" fillId="0" borderId="67" xfId="0" applyFont="1" applyBorder="1" applyAlignment="1" applyProtection="1">
      <alignment horizontal="center" vertical="center"/>
      <protection locked="0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41" fillId="5" borderId="28" xfId="0" applyFont="1" applyFill="1" applyBorder="1" applyAlignment="1">
      <alignment horizontal="center" vertical="center"/>
    </xf>
    <xf numFmtId="0" fontId="42" fillId="0" borderId="0" xfId="0" applyFont="1"/>
    <xf numFmtId="0" fontId="44" fillId="5" borderId="21" xfId="0" applyFont="1" applyFill="1" applyBorder="1"/>
    <xf numFmtId="0" fontId="41" fillId="5" borderId="0" xfId="0" applyFont="1" applyFill="1" applyAlignment="1">
      <alignment horizontal="center"/>
    </xf>
    <xf numFmtId="0" fontId="41" fillId="5" borderId="41" xfId="0" applyFont="1" applyFill="1" applyBorder="1"/>
    <xf numFmtId="0" fontId="41" fillId="5" borderId="42" xfId="0" applyFont="1" applyFill="1" applyBorder="1"/>
    <xf numFmtId="0" fontId="41" fillId="5" borderId="43" xfId="0" applyFont="1" applyFill="1" applyBorder="1"/>
    <xf numFmtId="0" fontId="41" fillId="5" borderId="44" xfId="0" applyFont="1" applyFill="1" applyBorder="1"/>
    <xf numFmtId="0" fontId="0" fillId="5" borderId="41" xfId="0" applyFill="1" applyBorder="1"/>
    <xf numFmtId="0" fontId="41" fillId="5" borderId="42" xfId="0" applyFont="1" applyFill="1" applyBorder="1" applyAlignment="1">
      <alignment horizontal="center" vertical="center"/>
    </xf>
    <xf numFmtId="0" fontId="41" fillId="5" borderId="44" xfId="0" applyFont="1" applyFill="1" applyBorder="1" applyAlignment="1">
      <alignment horizontal="center" vertical="center"/>
    </xf>
    <xf numFmtId="0" fontId="41" fillId="5" borderId="22" xfId="0" applyFont="1" applyFill="1" applyBorder="1"/>
    <xf numFmtId="0" fontId="41" fillId="5" borderId="14" xfId="0" applyFont="1" applyFill="1" applyBorder="1"/>
    <xf numFmtId="0" fontId="41" fillId="5" borderId="15" xfId="0" applyFont="1" applyFill="1" applyBorder="1"/>
    <xf numFmtId="0" fontId="41" fillId="5" borderId="45" xfId="0" applyFont="1" applyFill="1" applyBorder="1"/>
    <xf numFmtId="0" fontId="45" fillId="5" borderId="46" xfId="0" applyFont="1" applyFill="1" applyBorder="1" applyAlignment="1">
      <alignment horizontal="center" vertical="center"/>
    </xf>
    <xf numFmtId="0" fontId="45" fillId="5" borderId="47" xfId="0" applyFont="1" applyFill="1" applyBorder="1" applyAlignment="1">
      <alignment horizontal="center" vertical="center"/>
    </xf>
    <xf numFmtId="0" fontId="44" fillId="5" borderId="42" xfId="0" applyFont="1" applyFill="1" applyBorder="1"/>
    <xf numFmtId="0" fontId="41" fillId="5" borderId="8" xfId="0" applyFont="1" applyFill="1" applyBorder="1"/>
    <xf numFmtId="0" fontId="42" fillId="0" borderId="0" xfId="0" applyFont="1" applyAlignment="1">
      <alignment horizontal="center"/>
    </xf>
    <xf numFmtId="0" fontId="42" fillId="0" borderId="0" xfId="0" applyFont="1" applyAlignment="1" applyProtection="1">
      <alignment horizontal="center"/>
      <protection locked="0"/>
    </xf>
    <xf numFmtId="0" fontId="45" fillId="5" borderId="48" xfId="0" applyFont="1" applyFill="1" applyBorder="1" applyAlignment="1">
      <alignment horizontal="center" vertical="center"/>
    </xf>
    <xf numFmtId="0" fontId="41" fillId="5" borderId="68" xfId="0" applyFont="1" applyFill="1" applyBorder="1"/>
    <xf numFmtId="0" fontId="44" fillId="5" borderId="23" xfId="0" applyFont="1" applyFill="1" applyBorder="1"/>
    <xf numFmtId="0" fontId="46" fillId="0" borderId="67" xfId="0" applyFont="1" applyBorder="1" applyAlignment="1">
      <alignment horizontal="center" vertical="center" wrapText="1"/>
    </xf>
    <xf numFmtId="0" fontId="42" fillId="0" borderId="67" xfId="0" applyFont="1" applyBorder="1" applyAlignment="1">
      <alignment horizontal="center" vertical="center" wrapText="1"/>
    </xf>
    <xf numFmtId="0" fontId="16" fillId="6" borderId="0" xfId="1" applyFont="1" applyFill="1" applyAlignment="1">
      <alignment vertical="center"/>
    </xf>
    <xf numFmtId="0" fontId="16" fillId="6" borderId="49" xfId="1" applyFont="1" applyFill="1" applyBorder="1" applyAlignment="1">
      <alignment vertical="center"/>
    </xf>
    <xf numFmtId="0" fontId="42" fillId="0" borderId="69" xfId="0" applyFont="1" applyBorder="1" applyAlignment="1" applyProtection="1">
      <alignment horizontal="center" vertical="center"/>
      <protection locked="0"/>
    </xf>
    <xf numFmtId="0" fontId="47" fillId="0" borderId="70" xfId="0" applyFont="1" applyBorder="1" applyAlignment="1">
      <alignment horizontal="center" vertical="center" wrapText="1"/>
    </xf>
    <xf numFmtId="0" fontId="42" fillId="0" borderId="71" xfId="0" applyFont="1" applyBorder="1" applyAlignment="1">
      <alignment horizontal="center" vertical="center" wrapText="1"/>
    </xf>
    <xf numFmtId="0" fontId="42" fillId="0" borderId="71" xfId="0" applyFont="1" applyBorder="1" applyAlignment="1" applyProtection="1">
      <alignment horizontal="center" vertical="center"/>
      <protection locked="0"/>
    </xf>
    <xf numFmtId="0" fontId="42" fillId="0" borderId="7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Alignment="1">
      <alignment horizontal="center"/>
    </xf>
    <xf numFmtId="0" fontId="48" fillId="0" borderId="67" xfId="0" applyFont="1" applyBorder="1" applyAlignment="1">
      <alignment horizontal="center" vertical="center" wrapText="1"/>
    </xf>
    <xf numFmtId="0" fontId="19" fillId="0" borderId="67" xfId="0" applyFont="1" applyBorder="1" applyAlignment="1">
      <alignment horizontal="center" vertical="center" wrapText="1"/>
    </xf>
    <xf numFmtId="49" fontId="34" fillId="0" borderId="67" xfId="0" applyNumberFormat="1" applyFont="1" applyBorder="1" applyAlignment="1">
      <alignment horizontal="right" vertical="center"/>
    </xf>
    <xf numFmtId="49" fontId="34" fillId="0" borderId="67" xfId="0" applyNumberFormat="1" applyFont="1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0" fontId="42" fillId="0" borderId="0" xfId="0" applyFont="1" applyAlignment="1">
      <alignment horizontal="right" vertical="top"/>
    </xf>
    <xf numFmtId="0" fontId="42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41" fillId="0" borderId="0" xfId="0" applyFont="1" applyAlignment="1">
      <alignment horizontal="right"/>
    </xf>
    <xf numFmtId="0" fontId="41" fillId="0" borderId="67" xfId="0" applyFont="1" applyBorder="1" applyAlignment="1">
      <alignment horizontal="right" vertical="center"/>
    </xf>
    <xf numFmtId="0" fontId="41" fillId="0" borderId="72" xfId="0" applyFont="1" applyBorder="1" applyAlignment="1">
      <alignment horizontal="right" vertical="center"/>
    </xf>
    <xf numFmtId="0" fontId="0" fillId="5" borderId="0" xfId="0" applyFill="1" applyAlignment="1">
      <alignment horizontal="right"/>
    </xf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0" fillId="0" borderId="73" xfId="0" applyBorder="1"/>
    <xf numFmtId="0" fontId="42" fillId="0" borderId="73" xfId="0" applyFont="1" applyBorder="1" applyAlignment="1">
      <alignment horizontal="center"/>
    </xf>
    <xf numFmtId="0" fontId="42" fillId="0" borderId="73" xfId="0" applyFont="1" applyBorder="1"/>
    <xf numFmtId="0" fontId="42" fillId="0" borderId="73" xfId="0" applyFont="1" applyBorder="1" applyAlignment="1">
      <alignment horizontal="right"/>
    </xf>
    <xf numFmtId="0" fontId="4" fillId="2" borderId="27" xfId="0" applyFont="1" applyFill="1" applyBorder="1" applyAlignment="1">
      <alignment horizontal="center" vertical="center"/>
    </xf>
    <xf numFmtId="166" fontId="3" fillId="2" borderId="2" xfId="0" applyNumberFormat="1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3" fillId="2" borderId="50" xfId="0" applyFont="1" applyFill="1" applyBorder="1" applyAlignment="1">
      <alignment vertical="center"/>
    </xf>
    <xf numFmtId="166" fontId="3" fillId="2" borderId="50" xfId="0" applyNumberFormat="1" applyFont="1" applyFill="1" applyBorder="1" applyAlignment="1">
      <alignment horizontal="center" vertical="center"/>
    </xf>
    <xf numFmtId="166" fontId="3" fillId="2" borderId="50" xfId="0" applyNumberFormat="1" applyFont="1" applyFill="1" applyBorder="1" applyAlignment="1">
      <alignment vertical="center"/>
    </xf>
    <xf numFmtId="166" fontId="3" fillId="2" borderId="0" xfId="0" applyNumberFormat="1" applyFont="1" applyFill="1" applyAlignment="1">
      <alignment vertical="center"/>
    </xf>
    <xf numFmtId="0" fontId="4" fillId="2" borderId="2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6" fontId="3" fillId="2" borderId="27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5" fontId="3" fillId="2" borderId="1" xfId="0" applyNumberFormat="1" applyFont="1" applyFill="1" applyBorder="1" applyAlignment="1">
      <alignment vertical="center"/>
    </xf>
    <xf numFmtId="165" fontId="3" fillId="2" borderId="2" xfId="0" applyNumberFormat="1" applyFont="1" applyFill="1" applyBorder="1" applyAlignment="1">
      <alignment vertical="center"/>
    </xf>
    <xf numFmtId="165" fontId="3" fillId="2" borderId="2" xfId="0" applyNumberFormat="1" applyFont="1" applyFill="1" applyBorder="1" applyAlignment="1">
      <alignment horizontal="right" vertical="center"/>
    </xf>
    <xf numFmtId="165" fontId="3" fillId="2" borderId="3" xfId="0" applyNumberFormat="1" applyFont="1" applyFill="1" applyBorder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3" fillId="2" borderId="5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16" fillId="2" borderId="1" xfId="1" applyFont="1" applyFill="1" applyBorder="1" applyAlignment="1">
      <alignment horizontal="left" vertical="center"/>
    </xf>
    <xf numFmtId="0" fontId="17" fillId="2" borderId="1" xfId="1" applyFont="1" applyFill="1" applyBorder="1" applyAlignment="1">
      <alignment horizontal="left" vertical="center"/>
    </xf>
    <xf numFmtId="0" fontId="17" fillId="2" borderId="2" xfId="1" applyFont="1" applyFill="1" applyBorder="1" applyAlignment="1">
      <alignment horizontal="left" vertical="center"/>
    </xf>
    <xf numFmtId="0" fontId="17" fillId="2" borderId="2" xfId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left" vertical="center"/>
    </xf>
    <xf numFmtId="0" fontId="46" fillId="5" borderId="32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46" fillId="0" borderId="70" xfId="0" applyFont="1" applyBorder="1" applyAlignment="1" applyProtection="1">
      <alignment horizontal="center" vertical="center" wrapText="1"/>
      <protection locked="0"/>
    </xf>
    <xf numFmtId="0" fontId="41" fillId="0" borderId="0" xfId="0" applyFont="1" applyAlignment="1">
      <alignment horizontal="right"/>
    </xf>
    <xf numFmtId="0" fontId="42" fillId="5" borderId="33" xfId="0" applyFont="1" applyFill="1" applyBorder="1" applyAlignment="1">
      <alignment horizontal="center" vertical="center"/>
    </xf>
    <xf numFmtId="0" fontId="42" fillId="5" borderId="14" xfId="0" applyFont="1" applyFill="1" applyBorder="1" applyAlignment="1">
      <alignment horizontal="center" vertical="center"/>
    </xf>
    <xf numFmtId="0" fontId="42" fillId="5" borderId="32" xfId="0" applyFont="1" applyFill="1" applyBorder="1" applyAlignment="1">
      <alignment horizontal="center" vertical="center"/>
    </xf>
    <xf numFmtId="0" fontId="49" fillId="0" borderId="0" xfId="0" applyFont="1" applyAlignment="1">
      <alignment horizontal="right"/>
    </xf>
    <xf numFmtId="0" fontId="42" fillId="0" borderId="67" xfId="0" applyFont="1" applyBorder="1" applyAlignment="1">
      <alignment horizontal="center" wrapText="1"/>
    </xf>
    <xf numFmtId="0" fontId="49" fillId="0" borderId="75" xfId="0" applyFont="1" applyBorder="1" applyAlignment="1" applyProtection="1">
      <alignment horizontal="left" wrapText="1"/>
      <protection locked="0"/>
    </xf>
    <xf numFmtId="0" fontId="0" fillId="0" borderId="78" xfId="0" applyBorder="1" applyAlignment="1">
      <alignment horizontal="right"/>
    </xf>
    <xf numFmtId="0" fontId="51" fillId="0" borderId="67" xfId="0" applyFont="1" applyBorder="1" applyAlignment="1">
      <alignment horizontal="center" wrapText="1"/>
    </xf>
    <xf numFmtId="0" fontId="53" fillId="0" borderId="75" xfId="0" applyFont="1" applyBorder="1" applyAlignment="1">
      <alignment horizontal="center" vertical="center" wrapText="1"/>
    </xf>
    <xf numFmtId="0" fontId="49" fillId="0" borderId="67" xfId="0" applyFont="1" applyBorder="1" applyAlignment="1" applyProtection="1">
      <alignment horizontal="left" vertical="center"/>
      <protection locked="0"/>
    </xf>
    <xf numFmtId="14" fontId="49" fillId="0" borderId="67" xfId="0" applyNumberFormat="1" applyFont="1" applyBorder="1" applyAlignment="1">
      <alignment horizontal="left" vertical="center"/>
    </xf>
    <xf numFmtId="0" fontId="49" fillId="0" borderId="67" xfId="0" applyFont="1" applyBorder="1" applyAlignment="1">
      <alignment horizontal="right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1" fillId="0" borderId="79" xfId="0" applyFont="1" applyBorder="1" applyAlignment="1">
      <alignment horizontal="right" vertical="center"/>
    </xf>
    <xf numFmtId="0" fontId="54" fillId="0" borderId="79" xfId="0" applyFont="1" applyBorder="1" applyAlignment="1" applyProtection="1">
      <alignment horizontal="left" vertical="center"/>
      <protection locked="0"/>
    </xf>
    <xf numFmtId="0" fontId="49" fillId="0" borderId="79" xfId="0" applyFont="1" applyBorder="1" applyAlignment="1" applyProtection="1">
      <alignment horizontal="left" vertical="center"/>
      <protection locked="0"/>
    </xf>
    <xf numFmtId="0" fontId="49" fillId="0" borderId="67" xfId="0" applyFont="1" applyBorder="1" applyAlignment="1">
      <alignment horizontal="center" vertical="center"/>
    </xf>
    <xf numFmtId="0" fontId="51" fillId="0" borderId="69" xfId="0" applyFont="1" applyBorder="1" applyAlignment="1">
      <alignment horizontal="center" wrapText="1"/>
    </xf>
    <xf numFmtId="0" fontId="42" fillId="0" borderId="70" xfId="0" applyFont="1" applyBorder="1" applyAlignment="1">
      <alignment horizontal="center" vertical="center" wrapText="1"/>
    </xf>
    <xf numFmtId="0" fontId="42" fillId="0" borderId="67" xfId="0" applyFont="1" applyBorder="1" applyAlignment="1">
      <alignment horizontal="center" vertical="center" wrapText="1"/>
    </xf>
    <xf numFmtId="0" fontId="42" fillId="0" borderId="71" xfId="0" applyFont="1" applyBorder="1" applyAlignment="1">
      <alignment horizontal="center" vertical="center" wrapText="1"/>
    </xf>
    <xf numFmtId="0" fontId="46" fillId="0" borderId="67" xfId="0" applyFont="1" applyBorder="1" applyAlignment="1">
      <alignment horizontal="center" wrapText="1"/>
    </xf>
    <xf numFmtId="0" fontId="10" fillId="5" borderId="26" xfId="0" applyFont="1" applyFill="1" applyBorder="1" applyAlignment="1">
      <alignment horizontal="center" vertical="center"/>
    </xf>
    <xf numFmtId="0" fontId="10" fillId="5" borderId="51" xfId="0" applyFont="1" applyFill="1" applyBorder="1" applyAlignment="1">
      <alignment horizontal="center" vertical="center"/>
    </xf>
    <xf numFmtId="0" fontId="47" fillId="0" borderId="74" xfId="0" applyFont="1" applyBorder="1" applyAlignment="1">
      <alignment horizontal="center" wrapText="1"/>
    </xf>
    <xf numFmtId="0" fontId="42" fillId="14" borderId="76" xfId="0" applyFont="1" applyFill="1" applyBorder="1" applyAlignment="1">
      <alignment horizontal="center"/>
    </xf>
    <xf numFmtId="0" fontId="42" fillId="14" borderId="77" xfId="0" applyFont="1" applyFill="1" applyBorder="1" applyAlignment="1">
      <alignment horizontal="center"/>
    </xf>
    <xf numFmtId="0" fontId="46" fillId="5" borderId="13" xfId="0" applyFont="1" applyFill="1" applyBorder="1" applyAlignment="1">
      <alignment horizontal="center" wrapText="1"/>
    </xf>
    <xf numFmtId="0" fontId="46" fillId="5" borderId="22" xfId="0" applyFont="1" applyFill="1" applyBorder="1" applyAlignment="1">
      <alignment horizontal="center" wrapText="1"/>
    </xf>
    <xf numFmtId="0" fontId="45" fillId="5" borderId="33" xfId="0" applyFont="1" applyFill="1" applyBorder="1" applyAlignment="1">
      <alignment horizontal="center" wrapText="1"/>
    </xf>
    <xf numFmtId="0" fontId="45" fillId="5" borderId="14" xfId="0" applyFont="1" applyFill="1" applyBorder="1" applyAlignment="1">
      <alignment horizontal="center" wrapText="1"/>
    </xf>
    <xf numFmtId="0" fontId="50" fillId="5" borderId="28" xfId="0" applyFont="1" applyFill="1" applyBorder="1" applyAlignment="1">
      <alignment horizontal="center" wrapText="1"/>
    </xf>
    <xf numFmtId="0" fontId="50" fillId="5" borderId="29" xfId="0" applyFont="1" applyFill="1" applyBorder="1" applyAlignment="1">
      <alignment horizontal="center" wrapText="1"/>
    </xf>
    <xf numFmtId="0" fontId="47" fillId="5" borderId="58" xfId="0" applyFont="1" applyFill="1" applyBorder="1" applyAlignment="1">
      <alignment horizontal="center" wrapText="1"/>
    </xf>
    <xf numFmtId="0" fontId="47" fillId="5" borderId="29" xfId="0" applyFont="1" applyFill="1" applyBorder="1" applyAlignment="1">
      <alignment horizontal="center" wrapText="1"/>
    </xf>
    <xf numFmtId="0" fontId="47" fillId="5" borderId="57" xfId="0" applyFont="1" applyFill="1" applyBorder="1" applyAlignment="1">
      <alignment horizontal="center" wrapText="1"/>
    </xf>
    <xf numFmtId="0" fontId="47" fillId="5" borderId="56" xfId="0" applyFont="1" applyFill="1" applyBorder="1" applyAlignment="1">
      <alignment horizontal="center" wrapText="1"/>
    </xf>
    <xf numFmtId="0" fontId="41" fillId="5" borderId="80" xfId="0" applyFont="1" applyFill="1" applyBorder="1" applyAlignment="1">
      <alignment horizontal="center" vertical="center"/>
    </xf>
    <xf numFmtId="0" fontId="41" fillId="5" borderId="81" xfId="0" applyFont="1" applyFill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55" fillId="0" borderId="0" xfId="0" applyFont="1" applyAlignment="1" applyProtection="1">
      <alignment horizontal="center" vertical="center"/>
      <protection locked="0"/>
    </xf>
    <xf numFmtId="0" fontId="55" fillId="0" borderId="75" xfId="0" applyFont="1" applyBorder="1" applyAlignment="1" applyProtection="1">
      <alignment horizontal="center" vertical="center"/>
      <protection locked="0"/>
    </xf>
    <xf numFmtId="0" fontId="0" fillId="5" borderId="52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5" borderId="53" xfId="0" applyFill="1" applyBorder="1" applyAlignment="1">
      <alignment horizontal="center"/>
    </xf>
    <xf numFmtId="0" fontId="46" fillId="0" borderId="0" xfId="0" applyFont="1" applyAlignment="1">
      <alignment horizontal="center"/>
    </xf>
    <xf numFmtId="0" fontId="47" fillId="5" borderId="54" xfId="0" applyFont="1" applyFill="1" applyBorder="1" applyAlignment="1">
      <alignment horizontal="center" wrapText="1"/>
    </xf>
    <xf numFmtId="0" fontId="47" fillId="5" borderId="55" xfId="0" applyFont="1" applyFill="1" applyBorder="1" applyAlignment="1">
      <alignment horizontal="center" wrapText="1"/>
    </xf>
    <xf numFmtId="0" fontId="50" fillId="5" borderId="44" xfId="0" applyFont="1" applyFill="1" applyBorder="1" applyAlignment="1">
      <alignment horizontal="center" wrapText="1"/>
    </xf>
    <xf numFmtId="0" fontId="50" fillId="5" borderId="55" xfId="0" applyFont="1" applyFill="1" applyBorder="1" applyAlignment="1">
      <alignment horizontal="center" wrapText="1"/>
    </xf>
    <xf numFmtId="0" fontId="50" fillId="5" borderId="43" xfId="0" applyFont="1" applyFill="1" applyBorder="1" applyAlignment="1">
      <alignment horizontal="center" wrapText="1"/>
    </xf>
    <xf numFmtId="0" fontId="50" fillId="5" borderId="56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1" fillId="0" borderId="7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 wrapText="1"/>
    </xf>
    <xf numFmtId="0" fontId="33" fillId="0" borderId="67" xfId="0" applyFont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0" fontId="11" fillId="0" borderId="67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25" fillId="0" borderId="67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 wrapText="1"/>
    </xf>
    <xf numFmtId="0" fontId="10" fillId="0" borderId="67" xfId="0" applyFont="1" applyBorder="1" applyAlignment="1">
      <alignment horizontal="center" textRotation="90" wrapText="1"/>
    </xf>
    <xf numFmtId="0" fontId="57" fillId="0" borderId="67" xfId="0" applyFont="1" applyBorder="1" applyAlignment="1">
      <alignment horizontal="center" textRotation="90" wrapText="1"/>
    </xf>
    <xf numFmtId="0" fontId="0" fillId="0" borderId="67" xfId="0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10" fillId="0" borderId="72" xfId="0" applyFont="1" applyBorder="1" applyAlignment="1">
      <alignment horizontal="center" vertical="center" wrapText="1"/>
    </xf>
    <xf numFmtId="0" fontId="10" fillId="0" borderId="84" xfId="0" applyFont="1" applyBorder="1" applyAlignment="1">
      <alignment horizontal="center" vertical="center" wrapText="1"/>
    </xf>
    <xf numFmtId="0" fontId="0" fillId="2" borderId="16" xfId="0" applyFill="1" applyBorder="1" applyAlignment="1">
      <alignment horizontal="center"/>
    </xf>
    <xf numFmtId="167" fontId="0" fillId="2" borderId="31" xfId="0" applyNumberFormat="1" applyFill="1" applyBorder="1" applyAlignment="1">
      <alignment horizontal="center" vertical="center"/>
    </xf>
    <xf numFmtId="0" fontId="45" fillId="2" borderId="0" xfId="0" applyFont="1" applyFill="1" applyAlignment="1">
      <alignment horizontal="center" wrapText="1"/>
    </xf>
    <xf numFmtId="2" fontId="0" fillId="2" borderId="16" xfId="0" applyNumberForma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19" fillId="0" borderId="67" xfId="0" applyFont="1" applyBorder="1" applyAlignment="1">
      <alignment horizontal="center" vertical="center" wrapText="1"/>
    </xf>
    <xf numFmtId="0" fontId="48" fillId="0" borderId="67" xfId="0" applyFont="1" applyBorder="1" applyAlignment="1">
      <alignment horizontal="center" vertical="center" wrapText="1"/>
    </xf>
    <xf numFmtId="1" fontId="9" fillId="0" borderId="67" xfId="0" applyNumberFormat="1" applyFont="1" applyBorder="1" applyAlignment="1">
      <alignment horizontal="center" vertical="center"/>
    </xf>
    <xf numFmtId="0" fontId="49" fillId="0" borderId="73" xfId="0" applyFont="1" applyBorder="1" applyAlignment="1">
      <alignment horizontal="center"/>
    </xf>
    <xf numFmtId="0" fontId="49" fillId="0" borderId="0" xfId="0" applyFont="1" applyAlignment="1">
      <alignment horizontal="left"/>
    </xf>
    <xf numFmtId="0" fontId="12" fillId="0" borderId="67" xfId="0" applyFont="1" applyBorder="1" applyAlignment="1">
      <alignment horizontal="center" vertical="center"/>
    </xf>
    <xf numFmtId="0" fontId="6" fillId="7" borderId="1" xfId="0" applyFont="1" applyFill="1" applyBorder="1" applyAlignment="1">
      <alignment horizontal="left" vertical="center"/>
    </xf>
    <xf numFmtId="0" fontId="6" fillId="7" borderId="2" xfId="0" applyFont="1" applyFill="1" applyBorder="1" applyAlignment="1">
      <alignment horizontal="left" vertical="center"/>
    </xf>
    <xf numFmtId="0" fontId="6" fillId="7" borderId="3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center" vertical="center"/>
    </xf>
    <xf numFmtId="0" fontId="28" fillId="0" borderId="67" xfId="0" applyFont="1" applyBorder="1" applyAlignment="1">
      <alignment horizontal="left" vertical="center" wrapText="1"/>
    </xf>
    <xf numFmtId="0" fontId="27" fillId="0" borderId="73" xfId="0" applyFont="1" applyBorder="1" applyAlignment="1">
      <alignment horizontal="right" vertical="center"/>
    </xf>
    <xf numFmtId="0" fontId="31" fillId="0" borderId="67" xfId="0" applyFont="1" applyBorder="1" applyAlignment="1">
      <alignment horizontal="center" vertical="center" wrapText="1"/>
    </xf>
    <xf numFmtId="0" fontId="43" fillId="0" borderId="73" xfId="0" applyFont="1" applyBorder="1" applyAlignment="1">
      <alignment horizontal="left" vertical="center"/>
    </xf>
    <xf numFmtId="0" fontId="13" fillId="0" borderId="67" xfId="0" applyFont="1" applyBorder="1" applyAlignment="1">
      <alignment horizontal="center" vertical="center" wrapText="1"/>
    </xf>
    <xf numFmtId="0" fontId="60" fillId="0" borderId="67" xfId="0" applyFont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45" fillId="2" borderId="66" xfId="0" applyFont="1" applyFill="1" applyBorder="1" applyAlignment="1">
      <alignment horizontal="center" wrapText="1"/>
    </xf>
    <xf numFmtId="2" fontId="11" fillId="3" borderId="37" xfId="0" applyNumberFormat="1" applyFont="1" applyFill="1" applyBorder="1" applyAlignment="1" applyProtection="1">
      <alignment horizontal="center" vertical="center"/>
      <protection locked="0"/>
    </xf>
    <xf numFmtId="2" fontId="11" fillId="3" borderId="23" xfId="0" applyNumberFormat="1" applyFont="1" applyFill="1" applyBorder="1" applyAlignment="1" applyProtection="1">
      <alignment horizontal="center" vertical="center"/>
      <protection locked="0"/>
    </xf>
    <xf numFmtId="2" fontId="0" fillId="2" borderId="31" xfId="0" applyNumberFormat="1" applyFill="1" applyBorder="1" applyAlignment="1">
      <alignment horizontal="center" vertical="center"/>
    </xf>
    <xf numFmtId="0" fontId="42" fillId="0" borderId="0" xfId="0" applyFont="1" applyAlignment="1">
      <alignment horizontal="center" vertical="top"/>
    </xf>
    <xf numFmtId="0" fontId="56" fillId="0" borderId="67" xfId="0" applyFont="1" applyBorder="1" applyAlignment="1">
      <alignment horizontal="center" vertical="center" wrapText="1"/>
    </xf>
    <xf numFmtId="14" fontId="34" fillId="0" borderId="67" xfId="0" applyNumberFormat="1" applyFont="1" applyBorder="1" applyAlignment="1">
      <alignment horizontal="center" vertical="center"/>
    </xf>
    <xf numFmtId="1" fontId="11" fillId="0" borderId="67" xfId="0" applyNumberFormat="1" applyFont="1" applyBorder="1" applyAlignment="1">
      <alignment horizontal="left" vertical="center"/>
    </xf>
    <xf numFmtId="0" fontId="11" fillId="0" borderId="67" xfId="0" applyFont="1" applyBorder="1" applyAlignment="1">
      <alignment horizontal="left" vertical="center"/>
    </xf>
    <xf numFmtId="166" fontId="3" fillId="0" borderId="1" xfId="0" applyNumberFormat="1" applyFont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2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7" fillId="0" borderId="67" xfId="0" applyFont="1" applyBorder="1" applyAlignment="1">
      <alignment horizontal="center" vertical="center"/>
    </xf>
    <xf numFmtId="0" fontId="9" fillId="8" borderId="13" xfId="0" applyFont="1" applyFill="1" applyBorder="1" applyAlignment="1">
      <alignment horizontal="center" vertical="center"/>
    </xf>
    <xf numFmtId="0" fontId="9" fillId="8" borderId="59" xfId="0" applyFont="1" applyFill="1" applyBorder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42" fillId="0" borderId="0" xfId="0" applyFont="1" applyAlignment="1">
      <alignment horizontal="left" vertical="top"/>
    </xf>
    <xf numFmtId="0" fontId="42" fillId="13" borderId="82" xfId="0" applyFont="1" applyFill="1" applyBorder="1" applyAlignment="1">
      <alignment horizontal="center" vertical="top"/>
    </xf>
    <xf numFmtId="0" fontId="42" fillId="13" borderId="83" xfId="0" applyFont="1" applyFill="1" applyBorder="1" applyAlignment="1">
      <alignment horizontal="center" vertical="top"/>
    </xf>
    <xf numFmtId="2" fontId="11" fillId="0" borderId="67" xfId="0" applyNumberFormat="1" applyFont="1" applyBorder="1" applyAlignment="1">
      <alignment horizontal="center" vertical="center"/>
    </xf>
    <xf numFmtId="0" fontId="0" fillId="9" borderId="21" xfId="0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166" fontId="3" fillId="2" borderId="3" xfId="0" applyNumberFormat="1" applyFont="1" applyFill="1" applyBorder="1" applyAlignment="1">
      <alignment horizontal="center" vertical="center"/>
    </xf>
    <xf numFmtId="166" fontId="3" fillId="2" borderId="2" xfId="0" applyNumberFormat="1" applyFont="1" applyFill="1" applyBorder="1" applyAlignment="1">
      <alignment horizontal="center" vertical="center"/>
    </xf>
    <xf numFmtId="166" fontId="3" fillId="2" borderId="60" xfId="0" applyNumberFormat="1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/>
    </xf>
    <xf numFmtId="166" fontId="3" fillId="2" borderId="2" xfId="0" applyNumberFormat="1" applyFont="1" applyFill="1" applyBorder="1" applyAlignment="1">
      <alignment horizontal="center"/>
    </xf>
    <xf numFmtId="166" fontId="3" fillId="2" borderId="3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2" borderId="26" xfId="0" applyFont="1" applyFill="1" applyBorder="1" applyAlignment="1">
      <alignment horizontal="center"/>
    </xf>
    <xf numFmtId="0" fontId="3" fillId="2" borderId="51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3" fillId="2" borderId="62" xfId="0" applyFont="1" applyFill="1" applyBorder="1" applyAlignment="1">
      <alignment horizontal="center"/>
    </xf>
    <xf numFmtId="0" fontId="3" fillId="2" borderId="50" xfId="0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2" borderId="62" xfId="0" applyFont="1" applyFill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center" wrapText="1"/>
    </xf>
    <xf numFmtId="0" fontId="4" fillId="2" borderId="64" xfId="0" applyFont="1" applyFill="1" applyBorder="1" applyAlignment="1">
      <alignment horizontal="center" vertical="center" wrapText="1"/>
    </xf>
    <xf numFmtId="0" fontId="4" fillId="2" borderId="65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4" fontId="4" fillId="2" borderId="60" xfId="0" applyNumberFormat="1" applyFont="1" applyFill="1" applyBorder="1" applyAlignment="1">
      <alignment horizontal="center" vertical="center"/>
    </xf>
    <xf numFmtId="0" fontId="0" fillId="12" borderId="21" xfId="0" applyFill="1" applyBorder="1" applyAlignment="1">
      <alignment horizontal="center"/>
    </xf>
    <xf numFmtId="0" fontId="6" fillId="7" borderId="62" xfId="0" applyFont="1" applyFill="1" applyBorder="1" applyAlignment="1">
      <alignment horizontal="center" vertical="center"/>
    </xf>
    <xf numFmtId="0" fontId="6" fillId="7" borderId="50" xfId="0" applyFont="1" applyFill="1" applyBorder="1" applyAlignment="1">
      <alignment horizontal="center" vertical="center"/>
    </xf>
    <xf numFmtId="0" fontId="6" fillId="7" borderId="64" xfId="0" applyFont="1" applyFill="1" applyBorder="1" applyAlignment="1">
      <alignment horizontal="center" vertical="center"/>
    </xf>
    <xf numFmtId="0" fontId="4" fillId="2" borderId="63" xfId="0" applyFont="1" applyFill="1" applyBorder="1" applyAlignment="1">
      <alignment horizontal="center" vertical="center" wrapText="1"/>
    </xf>
    <xf numFmtId="0" fontId="6" fillId="7" borderId="60" xfId="0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2" fillId="2" borderId="0" xfId="0" applyFont="1" applyFill="1" applyAlignment="1">
      <alignment horizontal="center" vertical="center"/>
    </xf>
    <xf numFmtId="166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5" fillId="11" borderId="0" xfId="0" applyFont="1" applyFill="1" applyAlignment="1">
      <alignment horizontal="center" vertical="center"/>
    </xf>
    <xf numFmtId="0" fontId="20" fillId="10" borderId="13" xfId="0" applyFont="1" applyFill="1" applyBorder="1" applyAlignment="1">
      <alignment horizontal="center" vertical="center" wrapText="1"/>
    </xf>
    <xf numFmtId="0" fontId="20" fillId="10" borderId="9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27" fillId="0" borderId="69" xfId="0" applyFont="1" applyBorder="1" applyAlignment="1">
      <alignment horizontal="right" vertical="center"/>
    </xf>
    <xf numFmtId="0" fontId="27" fillId="0" borderId="79" xfId="0" applyFont="1" applyBorder="1" applyAlignment="1">
      <alignment horizontal="right" vertical="center"/>
    </xf>
    <xf numFmtId="0" fontId="27" fillId="0" borderId="74" xfId="0" applyFont="1" applyBorder="1" applyAlignment="1">
      <alignment horizontal="right" vertical="center"/>
    </xf>
    <xf numFmtId="0" fontId="7" fillId="0" borderId="67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0" fillId="0" borderId="67" xfId="0" applyFont="1" applyBorder="1" applyAlignment="1">
      <alignment horizontal="center" vertical="center"/>
    </xf>
    <xf numFmtId="0" fontId="7" fillId="2" borderId="61" xfId="0" applyFont="1" applyFill="1" applyBorder="1" applyAlignment="1">
      <alignment horizontal="center"/>
    </xf>
    <xf numFmtId="0" fontId="7" fillId="2" borderId="61" xfId="0" applyFont="1" applyFill="1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14" fontId="7" fillId="0" borderId="67" xfId="0" applyNumberFormat="1" applyFont="1" applyBorder="1" applyAlignment="1">
      <alignment horizontal="left"/>
    </xf>
    <xf numFmtId="0" fontId="49" fillId="0" borderId="69" xfId="0" applyFont="1" applyBorder="1" applyAlignment="1">
      <alignment horizontal="center"/>
    </xf>
    <xf numFmtId="0" fontId="49" fillId="0" borderId="79" xfId="0" applyFont="1" applyBorder="1" applyAlignment="1">
      <alignment horizontal="center"/>
    </xf>
    <xf numFmtId="14" fontId="23" fillId="0" borderId="67" xfId="0" applyNumberFormat="1" applyFont="1" applyBorder="1" applyAlignment="1">
      <alignment horizontal="center" vertical="center"/>
    </xf>
    <xf numFmtId="1" fontId="7" fillId="0" borderId="67" xfId="0" applyNumberFormat="1" applyFont="1" applyBorder="1" applyAlignment="1">
      <alignment horizontal="left" vertical="center"/>
    </xf>
    <xf numFmtId="0" fontId="45" fillId="2" borderId="19" xfId="0" applyFont="1" applyFill="1" applyBorder="1" applyAlignment="1">
      <alignment horizontal="center" wrapText="1"/>
    </xf>
    <xf numFmtId="1" fontId="0" fillId="2" borderId="16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wrapText="1"/>
    </xf>
    <xf numFmtId="0" fontId="45" fillId="2" borderId="16" xfId="0" applyFont="1" applyFill="1" applyBorder="1" applyAlignment="1">
      <alignment horizontal="center" wrapText="1"/>
    </xf>
    <xf numFmtId="14" fontId="7" fillId="2" borderId="61" xfId="0" applyNumberFormat="1" applyFont="1" applyFill="1" applyBorder="1" applyAlignment="1">
      <alignment horizontal="center" vertical="center"/>
    </xf>
    <xf numFmtId="0" fontId="45" fillId="2" borderId="31" xfId="0" applyFont="1" applyFill="1" applyBorder="1" applyAlignment="1">
      <alignment horizontal="center" wrapText="1"/>
    </xf>
    <xf numFmtId="2" fontId="0" fillId="2" borderId="0" xfId="0" applyNumberFormat="1" applyFill="1" applyAlignment="1" applyProtection="1">
      <alignment horizontal="center" vertical="center"/>
      <protection hidden="1"/>
    </xf>
    <xf numFmtId="0" fontId="52" fillId="0" borderId="0" xfId="0" applyFont="1" applyAlignment="1">
      <alignment horizontal="center" vertical="center"/>
    </xf>
    <xf numFmtId="0" fontId="58" fillId="3" borderId="37" xfId="0" applyFont="1" applyFill="1" applyBorder="1" applyAlignment="1">
      <alignment horizontal="center" vertical="center" wrapText="1"/>
    </xf>
    <xf numFmtId="0" fontId="58" fillId="3" borderId="23" xfId="0" applyFont="1" applyFill="1" applyBorder="1" applyAlignment="1">
      <alignment horizontal="center" vertical="center" wrapText="1"/>
    </xf>
    <xf numFmtId="0" fontId="45" fillId="2" borderId="16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4" fontId="11" fillId="0" borderId="67" xfId="0" applyNumberFormat="1" applyFont="1" applyBorder="1" applyAlignment="1">
      <alignment horizontal="center" vertical="center"/>
    </xf>
    <xf numFmtId="49" fontId="11" fillId="0" borderId="67" xfId="0" applyNumberFormat="1" applyFont="1" applyBorder="1" applyAlignment="1">
      <alignment horizontal="center" vertical="center"/>
    </xf>
    <xf numFmtId="7" fontId="30" fillId="0" borderId="67" xfId="1" applyNumberFormat="1" applyFont="1" applyBorder="1" applyAlignment="1">
      <alignment horizontal="left" vertical="center"/>
    </xf>
    <xf numFmtId="0" fontId="4" fillId="0" borderId="27" xfId="0" applyFont="1" applyBorder="1" applyAlignment="1">
      <alignment horizontal="center" vertical="center"/>
    </xf>
    <xf numFmtId="166" fontId="3" fillId="0" borderId="27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</cellXfs>
  <cellStyles count="2">
    <cellStyle name="Normale" xfId="0" builtinId="0"/>
    <cellStyle name="Normale 3" xfId="1" xr:uid="{00000000-0005-0000-0000-000001000000}"/>
  </cellStyles>
  <dxfs count="91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>
          <bgColor theme="0"/>
        </patternFill>
      </fill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font>
        <strike val="0"/>
        <color theme="0"/>
      </font>
      <fill>
        <patternFill>
          <bgColor theme="0"/>
        </patternFill>
      </fill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font>
        <strike val="0"/>
        <color theme="0"/>
      </font>
      <fill>
        <patternFill>
          <bgColor theme="0"/>
        </patternFill>
      </fill>
    </dxf>
    <dxf>
      <border>
        <left/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/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strike val="0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strike val="0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font>
        <strike val="0"/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rgb="FF99FF66"/>
          </stop>
        </gradientFill>
      </fill>
      <border>
        <left/>
        <right/>
        <top style="thin">
          <color theme="0" tint="-0.24994659260841701"/>
        </top>
        <bottom/>
      </border>
    </dxf>
    <dxf>
      <border>
        <left/>
        <right/>
        <top style="thin">
          <color theme="0" tint="-0.24994659260841701"/>
        </top>
        <bottom/>
      </border>
    </dxf>
    <dxf>
      <fill>
        <patternFill>
          <bgColor rgb="FFFFFFFF"/>
        </patternFill>
      </fill>
      <border>
        <left/>
        <right/>
        <top style="thin">
          <color theme="0" tint="-0.24994659260841701"/>
        </top>
        <bottom/>
      </border>
    </dxf>
    <dxf>
      <border>
        <left/>
        <right/>
        <top style="thin">
          <color theme="0" tint="-0.24994659260841701"/>
        </top>
        <bottom/>
      </border>
    </dxf>
    <dxf>
      <fill>
        <gradientFill degree="90">
          <stop position="0">
            <color theme="0"/>
          </stop>
          <stop position="1">
            <color rgb="FF99FF66"/>
          </stop>
        </gradientFill>
      </fill>
      <border>
        <left/>
        <right/>
        <top style="thin">
          <color theme="0" tint="-0.24994659260841701"/>
        </top>
        <bottom/>
      </border>
    </dxf>
    <dxf>
      <fill>
        <patternFill>
          <bgColor rgb="FFFFFFFF"/>
        </patternFill>
      </fill>
      <border>
        <left/>
        <right/>
        <top style="thin">
          <color theme="0" tint="-0.24994659260841701"/>
        </top>
        <bottom/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gradientFill degree="90">
          <stop position="0">
            <color theme="0"/>
          </stop>
          <stop position="1">
            <color rgb="FF99FF66"/>
          </stop>
        </gradient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FF"/>
        </patternFill>
      </fill>
      <border>
        <left/>
        <right/>
        <top style="thin">
          <color theme="0" tint="-0.24994659260841701"/>
        </top>
        <bottom/>
      </border>
    </dxf>
    <dxf>
      <border>
        <left/>
        <right/>
        <top style="thin">
          <color theme="0" tint="-0.24994659260841701"/>
        </top>
        <bottom/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border>
        <left/>
        <right style="thin">
          <color theme="0" tint="-0.24994659260841701"/>
        </right>
        <top/>
        <bottom style="thin">
          <color theme="0" tint="-0.24994659260841701"/>
        </bottom>
      </border>
    </dxf>
    <dxf>
      <fill>
        <patternFill>
          <bgColor rgb="FF99FF99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border>
        <left/>
        <right/>
        <top/>
        <bottom style="thin">
          <color theme="0" tint="-0.24994659260841701"/>
        </bottom>
      </border>
    </dxf>
    <dxf>
      <font>
        <strike val="0"/>
      </font>
      <fill>
        <gradientFill degree="90">
          <stop position="0">
            <color theme="0"/>
          </stop>
          <stop position="1">
            <color rgb="FF99FF99"/>
          </stop>
        </gradientFill>
      </fill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strike val="0"/>
      </font>
      <fill>
        <patternFill>
          <bgColor rgb="FFFFFFFF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border>
        <left style="thin">
          <color theme="0" tint="-0.24994659260841701"/>
        </left>
        <right/>
        <top/>
        <bottom style="thin">
          <color theme="0" tint="-0.24994659260841701"/>
        </bottom>
      </border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</font>
      <fill>
        <patternFill>
          <bgColor rgb="FFFFFFFF"/>
        </patternFill>
      </fill>
    </dxf>
    <dxf>
      <font>
        <strike val="0"/>
      </font>
      <fill>
        <patternFill>
          <bgColor rgb="FF99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0</xdr:rowOff>
    </xdr:from>
    <xdr:to>
      <xdr:col>2</xdr:col>
      <xdr:colOff>495299</xdr:colOff>
      <xdr:row>1</xdr:row>
      <xdr:rowOff>314325</xdr:rowOff>
    </xdr:to>
    <xdr:pic>
      <xdr:nvPicPr>
        <xdr:cNvPr id="2765" name="Immagine 2">
          <a:extLst>
            <a:ext uri="{FF2B5EF4-FFF2-40B4-BE49-F238E27FC236}">
              <a16:creationId xmlns:a16="http://schemas.microsoft.com/office/drawing/2014/main" id="{2CE97789-9E15-27DD-1F6D-7E8175395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0"/>
          <a:ext cx="11715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11430</xdr:colOff>
      <xdr:row>0</xdr:row>
      <xdr:rowOff>15240</xdr:rowOff>
    </xdr:from>
    <xdr:to>
      <xdr:col>55</xdr:col>
      <xdr:colOff>163830</xdr:colOff>
      <xdr:row>29</xdr:row>
      <xdr:rowOff>110490</xdr:rowOff>
    </xdr:to>
    <xdr:pic>
      <xdr:nvPicPr>
        <xdr:cNvPr id="2766" name="Immagine 2">
          <a:extLst>
            <a:ext uri="{FF2B5EF4-FFF2-40B4-BE49-F238E27FC236}">
              <a16:creationId xmlns:a16="http://schemas.microsoft.com/office/drawing/2014/main" id="{DCBEA9BF-BE1A-6CC7-F877-21375D05E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0670" y="15240"/>
          <a:ext cx="8770620" cy="7890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561975</xdr:colOff>
      <xdr:row>10</xdr:row>
      <xdr:rowOff>142875</xdr:rowOff>
    </xdr:from>
    <xdr:to>
      <xdr:col>71</xdr:col>
      <xdr:colOff>352425</xdr:colOff>
      <xdr:row>37</xdr:row>
      <xdr:rowOff>57150</xdr:rowOff>
    </xdr:to>
    <xdr:pic>
      <xdr:nvPicPr>
        <xdr:cNvPr id="2031" name="Picture 2">
          <a:extLst>
            <a:ext uri="{FF2B5EF4-FFF2-40B4-BE49-F238E27FC236}">
              <a16:creationId xmlns:a16="http://schemas.microsoft.com/office/drawing/2014/main" id="{8808D048-0CA7-7164-6FBC-38BFBFADF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23" t="17963" r="35001" b="15648"/>
        <a:stretch>
          <a:fillRect/>
        </a:stretch>
      </xdr:blipFill>
      <xdr:spPr bwMode="auto">
        <a:xfrm>
          <a:off x="32727900" y="1762125"/>
          <a:ext cx="2838450" cy="501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565785</xdr:colOff>
      <xdr:row>25</xdr:row>
      <xdr:rowOff>123825</xdr:rowOff>
    </xdr:from>
    <xdr:to>
      <xdr:col>59</xdr:col>
      <xdr:colOff>575310</xdr:colOff>
      <xdr:row>51</xdr:row>
      <xdr:rowOff>34290</xdr:rowOff>
    </xdr:to>
    <xdr:pic>
      <xdr:nvPicPr>
        <xdr:cNvPr id="2032" name="Picture 3">
          <a:extLst>
            <a:ext uri="{FF2B5EF4-FFF2-40B4-BE49-F238E27FC236}">
              <a16:creationId xmlns:a16="http://schemas.microsoft.com/office/drawing/2014/main" id="{10A57DF0-8C50-FCE2-313F-3AC3347B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44" t="29167" r="24426" b="10463"/>
        <a:stretch>
          <a:fillRect/>
        </a:stretch>
      </xdr:blipFill>
      <xdr:spPr bwMode="auto">
        <a:xfrm>
          <a:off x="17474565" y="4535805"/>
          <a:ext cx="12026265" cy="517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>
    <pageSetUpPr fitToPage="1"/>
  </sheetPr>
  <dimension ref="A1:CI24"/>
  <sheetViews>
    <sheetView showGridLines="0" showRowColHeaders="0" tabSelected="1" zoomScaleNormal="100" zoomScaleSheetLayoutView="100" workbookViewId="0">
      <selection activeCell="D2" sqref="D2:E2"/>
    </sheetView>
  </sheetViews>
  <sheetFormatPr defaultColWidth="9.109375" defaultRowHeight="14.4"/>
  <cols>
    <col min="1" max="1" width="5.5546875" style="145" customWidth="1"/>
    <col min="2" max="2" width="5.6640625" style="51" customWidth="1"/>
    <col min="3" max="3" width="12.6640625" style="51" customWidth="1"/>
    <col min="4" max="4" width="8.6640625" style="51" customWidth="1"/>
    <col min="5" max="7" width="7.6640625" style="51" customWidth="1"/>
    <col min="8" max="8" width="6.6640625" style="51" customWidth="1"/>
    <col min="9" max="10" width="5.6640625" style="51" customWidth="1"/>
    <col min="11" max="11" width="7.6640625" style="51" customWidth="1"/>
    <col min="12" max="12" width="16.77734375" style="51" customWidth="1"/>
    <col min="13" max="14" width="3.44140625" style="51" hidden="1" customWidth="1"/>
    <col min="15" max="16" width="7.6640625" style="51" customWidth="1"/>
    <col min="17" max="18" width="10.6640625" style="51" customWidth="1"/>
    <col min="19" max="32" width="2.6640625" style="51" customWidth="1"/>
    <col min="33" max="40" width="3.6640625" style="58" customWidth="1"/>
    <col min="41" max="44" width="4.6640625" style="58" customWidth="1"/>
    <col min="45" max="52" width="3.6640625" style="58" customWidth="1"/>
    <col min="53" max="64" width="3.6640625" style="51" customWidth="1"/>
    <col min="65" max="67" width="10.6640625" style="51" customWidth="1"/>
    <col min="68" max="70" width="5.6640625" style="51" customWidth="1"/>
    <col min="71" max="71" width="3.6640625" style="51" customWidth="1"/>
    <col min="72" max="74" width="5.6640625" style="51" customWidth="1"/>
    <col min="75" max="75" width="9.6640625" style="51" customWidth="1"/>
    <col min="76" max="78" width="6.6640625" style="51" customWidth="1"/>
    <col min="79" max="79" width="7.6640625" style="51" customWidth="1"/>
    <col min="80" max="80" width="9.109375" style="51"/>
    <col min="81" max="81" width="7.33203125" style="51" customWidth="1"/>
    <col min="82" max="82" width="7.6640625" style="51" customWidth="1"/>
    <col min="83" max="83" width="6.6640625" style="51" customWidth="1"/>
    <col min="84" max="87" width="5.6640625" style="51" customWidth="1"/>
    <col min="88" max="16384" width="9.109375" style="51"/>
  </cols>
  <sheetData>
    <row r="1" spans="1:87" ht="35.1" customHeight="1">
      <c r="A1" s="178"/>
      <c r="B1" s="178"/>
      <c r="C1" s="178"/>
      <c r="D1" s="178"/>
      <c r="E1" s="178"/>
      <c r="F1" s="223" t="str">
        <f>IF(COUNTIFS(L7:L17,"SU MISURA TECNOINOX")&gt;0,"SOTTOLAVELLO ALLUMINIO COLOR TITANIO H mm","")</f>
        <v/>
      </c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4"/>
    </row>
    <row r="2" spans="1:87" ht="35.1" customHeight="1">
      <c r="A2" s="184" t="s">
        <v>159</v>
      </c>
      <c r="B2" s="184"/>
      <c r="C2" s="184"/>
      <c r="D2" s="186" t="s">
        <v>160</v>
      </c>
      <c r="E2" s="186"/>
      <c r="F2" s="189" t="str">
        <f>IF(AND(H22="N°",I22=""),"SCRIVI IL N° DI BARRE SINCRONIZZATRICI NECESSARIE NEL RIQUADRO VERDE",IF(I22&lt;&gt;"","",""))</f>
        <v/>
      </c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225"/>
    </row>
    <row r="3" spans="1:87" ht="24.9" customHeight="1" thickBot="1">
      <c r="A3" s="187"/>
      <c r="B3" s="192" t="s">
        <v>17</v>
      </c>
      <c r="C3" s="192"/>
      <c r="D3" s="190"/>
      <c r="E3" s="190"/>
      <c r="F3" s="190"/>
      <c r="G3" s="190"/>
      <c r="H3" s="190"/>
      <c r="I3" s="190"/>
      <c r="J3" s="190"/>
      <c r="K3" s="190"/>
      <c r="L3" s="200"/>
      <c r="M3" s="200"/>
      <c r="N3" s="200"/>
      <c r="O3" s="191"/>
      <c r="P3" s="191"/>
      <c r="Q3" s="191"/>
      <c r="R3" s="191"/>
      <c r="AG3" s="79"/>
      <c r="AH3" s="54" t="s">
        <v>109</v>
      </c>
      <c r="AI3" s="65"/>
      <c r="AJ3" s="78" t="s">
        <v>97</v>
      </c>
      <c r="AK3" s="72"/>
      <c r="AL3" s="73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181" t="s">
        <v>113</v>
      </c>
      <c r="AY3" s="182"/>
      <c r="AZ3" s="183"/>
      <c r="BB3" s="181" t="s">
        <v>114</v>
      </c>
      <c r="BC3" s="182"/>
      <c r="BD3" s="183"/>
      <c r="BF3" s="181" t="s">
        <v>47</v>
      </c>
      <c r="BG3" s="182"/>
      <c r="BH3" s="183"/>
      <c r="BI3" s="65"/>
      <c r="BJ3" s="65"/>
      <c r="BL3" s="80"/>
      <c r="BM3" s="181" t="s">
        <v>120</v>
      </c>
      <c r="BN3" s="182"/>
      <c r="BO3" s="183"/>
    </row>
    <row r="4" spans="1:87" ht="24.9" customHeight="1" thickBot="1">
      <c r="A4" s="187"/>
      <c r="B4" s="192" t="s">
        <v>93</v>
      </c>
      <c r="C4" s="192"/>
      <c r="D4" s="190"/>
      <c r="E4" s="190"/>
      <c r="F4" s="190"/>
      <c r="G4" s="190"/>
      <c r="H4" s="190"/>
      <c r="I4" s="190"/>
      <c r="J4" s="190"/>
      <c r="K4" s="190"/>
      <c r="L4" s="200" t="s">
        <v>94</v>
      </c>
      <c r="M4" s="200"/>
      <c r="N4" s="200"/>
      <c r="O4" s="190"/>
      <c r="P4" s="190"/>
      <c r="Q4" s="190"/>
      <c r="R4" s="190"/>
      <c r="AG4" s="79"/>
      <c r="AH4" s="65"/>
      <c r="AI4" s="65"/>
      <c r="AJ4" s="78" t="s">
        <v>107</v>
      </c>
      <c r="AK4" s="72"/>
      <c r="AL4" s="73"/>
      <c r="AM4" s="65"/>
      <c r="AN4" s="181" t="s">
        <v>133</v>
      </c>
      <c r="AO4" s="182"/>
      <c r="AP4" s="182"/>
      <c r="AQ4" s="182"/>
      <c r="AR4" s="183"/>
      <c r="AS4" s="65"/>
      <c r="AT4" s="65"/>
      <c r="AU4" s="65"/>
      <c r="AV4" s="65"/>
      <c r="AW4" s="65"/>
      <c r="AX4" s="65"/>
      <c r="AY4" s="65"/>
      <c r="AZ4" s="71">
        <v>218</v>
      </c>
      <c r="BB4" s="65"/>
      <c r="BC4" s="65"/>
      <c r="BD4" s="65"/>
      <c r="BF4" s="65"/>
      <c r="BG4" s="65"/>
      <c r="BH4" s="65"/>
      <c r="BI4" s="65"/>
      <c r="BJ4" s="65"/>
      <c r="BL4" s="80" t="s">
        <v>9</v>
      </c>
      <c r="BM4" s="80"/>
      <c r="BN4" s="80"/>
      <c r="CF4" s="226" t="s">
        <v>149</v>
      </c>
      <c r="CG4" s="227"/>
      <c r="CH4" s="227"/>
      <c r="CI4" s="228"/>
    </row>
    <row r="5" spans="1:87" s="52" customFormat="1" ht="23.1" customHeight="1" thickBot="1">
      <c r="A5" s="142"/>
      <c r="B5" s="185" t="s">
        <v>7</v>
      </c>
      <c r="C5" s="185" t="s">
        <v>8</v>
      </c>
      <c r="D5" s="188" t="s">
        <v>95</v>
      </c>
      <c r="E5" s="185" t="s">
        <v>54</v>
      </c>
      <c r="F5" s="185" t="s">
        <v>10</v>
      </c>
      <c r="G5" s="185" t="s">
        <v>50</v>
      </c>
      <c r="H5" s="185" t="s">
        <v>51</v>
      </c>
      <c r="I5" s="185" t="s">
        <v>48</v>
      </c>
      <c r="J5" s="185" t="s">
        <v>47</v>
      </c>
      <c r="K5" s="201" t="s">
        <v>49</v>
      </c>
      <c r="L5" s="202" t="s">
        <v>45</v>
      </c>
      <c r="M5" s="203"/>
      <c r="N5" s="204"/>
      <c r="O5" s="208" t="s">
        <v>137</v>
      </c>
      <c r="P5" s="205" t="s">
        <v>117</v>
      </c>
      <c r="Q5" s="205" t="s">
        <v>135</v>
      </c>
      <c r="R5" s="185" t="s">
        <v>20</v>
      </c>
      <c r="AD5" s="51"/>
      <c r="AE5" s="51"/>
      <c r="AF5" s="51"/>
      <c r="AG5" s="79"/>
      <c r="AH5" s="65"/>
      <c r="AI5" s="65"/>
      <c r="AJ5" s="78" t="s">
        <v>108</v>
      </c>
      <c r="AK5" s="72"/>
      <c r="AL5" s="73"/>
      <c r="AM5" s="65"/>
      <c r="AN5" s="65"/>
      <c r="AO5" s="80"/>
      <c r="AP5" s="65"/>
      <c r="AQ5" s="65">
        <v>40</v>
      </c>
      <c r="AR5" s="65"/>
      <c r="AS5" s="181" t="s">
        <v>50</v>
      </c>
      <c r="AT5" s="182"/>
      <c r="AU5" s="182"/>
      <c r="AV5" s="183"/>
      <c r="AW5" s="65"/>
      <c r="AX5" s="65"/>
      <c r="AY5" s="65"/>
      <c r="AZ5" s="71">
        <v>250</v>
      </c>
      <c r="BB5" s="65"/>
      <c r="BC5" s="65"/>
      <c r="BD5" s="65"/>
      <c r="BF5" s="65"/>
      <c r="BG5" s="65"/>
      <c r="BH5" s="65"/>
      <c r="BI5" s="65"/>
      <c r="BJ5" s="65"/>
      <c r="BL5" s="80" t="s">
        <v>106</v>
      </c>
      <c r="BM5" s="80" t="s">
        <v>122</v>
      </c>
      <c r="BN5" s="80"/>
      <c r="CA5" s="211" t="s">
        <v>135</v>
      </c>
      <c r="CB5" s="219" t="s">
        <v>142</v>
      </c>
      <c r="CC5" s="217" t="s">
        <v>139</v>
      </c>
      <c r="CD5" s="217" t="s">
        <v>141</v>
      </c>
      <c r="CE5" s="230" t="s">
        <v>140</v>
      </c>
      <c r="CF5" s="234" t="s">
        <v>145</v>
      </c>
      <c r="CG5" s="215" t="s">
        <v>146</v>
      </c>
      <c r="CH5" s="215" t="s">
        <v>147</v>
      </c>
      <c r="CI5" s="232" t="s">
        <v>148</v>
      </c>
    </row>
    <row r="6" spans="1:87" s="52" customFormat="1" ht="23.1" customHeight="1" thickBot="1">
      <c r="A6" s="142"/>
      <c r="B6" s="185"/>
      <c r="C6" s="185"/>
      <c r="D6" s="188"/>
      <c r="E6" s="185"/>
      <c r="F6" s="185"/>
      <c r="G6" s="185"/>
      <c r="H6" s="185"/>
      <c r="I6" s="185"/>
      <c r="J6" s="185"/>
      <c r="K6" s="201"/>
      <c r="L6" s="129" t="s">
        <v>131</v>
      </c>
      <c r="M6" s="125" t="s">
        <v>96</v>
      </c>
      <c r="N6" s="130" t="s">
        <v>106</v>
      </c>
      <c r="O6" s="208"/>
      <c r="P6" s="205"/>
      <c r="Q6" s="205"/>
      <c r="R6" s="185"/>
      <c r="AG6" s="65"/>
      <c r="AH6" s="65"/>
      <c r="AI6" s="65"/>
      <c r="AJ6" s="65"/>
      <c r="AK6" s="71">
        <v>78</v>
      </c>
      <c r="AL6" s="71">
        <v>94</v>
      </c>
      <c r="AM6" s="66">
        <v>126</v>
      </c>
      <c r="AN6" s="65"/>
      <c r="AO6" s="65"/>
      <c r="AP6" s="65">
        <v>40</v>
      </c>
      <c r="AQ6" s="65">
        <v>70</v>
      </c>
      <c r="AR6" s="65">
        <v>70</v>
      </c>
      <c r="AS6" s="65"/>
      <c r="AT6" s="65"/>
      <c r="AU6" s="71">
        <v>94</v>
      </c>
      <c r="AV6" s="71">
        <v>126</v>
      </c>
      <c r="AW6" s="65"/>
      <c r="AX6" s="65"/>
      <c r="AY6" s="70">
        <v>186</v>
      </c>
      <c r="AZ6" s="71">
        <v>282</v>
      </c>
      <c r="BB6" s="65"/>
      <c r="BC6" s="66">
        <v>92</v>
      </c>
      <c r="BD6" s="66"/>
      <c r="BF6" s="65"/>
      <c r="BG6" s="66">
        <v>92</v>
      </c>
      <c r="BH6" s="66">
        <v>124</v>
      </c>
      <c r="BI6" s="65"/>
      <c r="BJ6" s="65" t="s">
        <v>136</v>
      </c>
      <c r="BL6" s="65"/>
      <c r="BM6" s="66">
        <v>500</v>
      </c>
      <c r="BN6" s="66">
        <v>350</v>
      </c>
      <c r="BO6" s="66">
        <v>300</v>
      </c>
      <c r="BP6" s="66" t="s">
        <v>162</v>
      </c>
      <c r="BS6" s="213" t="s">
        <v>134</v>
      </c>
      <c r="BT6" s="214"/>
      <c r="BU6" s="214"/>
      <c r="BV6" s="221" t="s">
        <v>117</v>
      </c>
      <c r="BW6" s="222"/>
      <c r="BX6" s="121" t="s">
        <v>69</v>
      </c>
      <c r="BY6" s="115" t="s">
        <v>72</v>
      </c>
      <c r="BZ6" s="116" t="s">
        <v>143</v>
      </c>
      <c r="CA6" s="212"/>
      <c r="CB6" s="220"/>
      <c r="CC6" s="218"/>
      <c r="CD6" s="218"/>
      <c r="CE6" s="231"/>
      <c r="CF6" s="235"/>
      <c r="CG6" s="216"/>
      <c r="CH6" s="216"/>
      <c r="CI6" s="233"/>
    </row>
    <row r="7" spans="1:87" s="52" customFormat="1" ht="23.1" customHeight="1" thickBot="1">
      <c r="A7" s="143" t="s">
        <v>98</v>
      </c>
      <c r="B7" s="96"/>
      <c r="C7" s="96"/>
      <c r="D7" s="96"/>
      <c r="E7" s="96"/>
      <c r="F7" s="96"/>
      <c r="G7" s="96"/>
      <c r="H7" s="96"/>
      <c r="I7" s="96"/>
      <c r="J7" s="96"/>
      <c r="K7" s="128"/>
      <c r="L7" s="179"/>
      <c r="M7" s="96"/>
      <c r="N7" s="131"/>
      <c r="O7" s="132"/>
      <c r="P7" s="96"/>
      <c r="Q7" s="96"/>
      <c r="R7" s="124" t="str">
        <f>IF(OR(G7&lt;=126,(OR(H7&lt;&gt;"",I7&lt;&gt;"",J7&lt;&gt;"")*AND(G7&gt;126))),IFERROR(IF(CARTELLINO!AJ24&gt;0,CARTELLINO!AJ24*2,""),"MANCANO DATI"),"MANCANO DATI")</f>
        <v/>
      </c>
      <c r="AG7" s="75" t="str">
        <f>IF(D7=78,"A",IF(D7=94,"B",IF(D7=126,"D","")))</f>
        <v/>
      </c>
      <c r="AH7" s="60" t="s">
        <v>97</v>
      </c>
      <c r="AI7" s="61" t="s">
        <v>107</v>
      </c>
      <c r="AJ7" s="62" t="s">
        <v>108</v>
      </c>
      <c r="AK7" s="68" t="s">
        <v>98</v>
      </c>
      <c r="AL7" s="68" t="s">
        <v>99</v>
      </c>
      <c r="AM7" s="85" t="s">
        <v>101</v>
      </c>
      <c r="AN7" s="86" t="str">
        <f>IF(F7=$AO$8,$AP$8,IF(F7=$AO$9,$AP$9,IF(F7=$AO$10,$AP$10,IF(F7=$AO$11,$AP$11,IF(F7=$AO$12,$AP$12,IF(F7=$AO$13,$AP$13,IF(F7=$AO$14,$AP$14,IF(F7=$AO$15,$AP$15,""))))))))</f>
        <v/>
      </c>
      <c r="AO7" s="60" t="s">
        <v>1</v>
      </c>
      <c r="AP7" s="61" t="s">
        <v>132</v>
      </c>
      <c r="AQ7" s="63" t="s">
        <v>102</v>
      </c>
      <c r="AR7" s="64" t="s">
        <v>103</v>
      </c>
      <c r="AS7" s="75" t="str">
        <f>IF(D7=78,"G",IF(D7=94,"H",IF(D7=126,"I","")))</f>
        <v/>
      </c>
      <c r="AT7" s="72" t="s">
        <v>104</v>
      </c>
      <c r="AU7" s="67" t="s">
        <v>9</v>
      </c>
      <c r="AV7" s="67" t="s">
        <v>105</v>
      </c>
      <c r="AW7" s="65"/>
      <c r="AX7" s="75" t="str">
        <f>IF(AND(I7="",J7=""),IF(G7=186,"L",IF(OR(G7=218,G7=250,G7=282),"M","")),"")</f>
        <v/>
      </c>
      <c r="AY7" s="55" t="s">
        <v>106</v>
      </c>
      <c r="AZ7" s="67" t="s">
        <v>112</v>
      </c>
      <c r="BB7" s="75" t="str">
        <f>IF(AND(H7="",J7=""),IF(G7-D7=$BC$6,"N",""))</f>
        <v/>
      </c>
      <c r="BC7" s="57" t="s">
        <v>115</v>
      </c>
      <c r="BD7" s="67"/>
      <c r="BF7" s="75" t="str">
        <f>IF(AND(H7="",I7="",F7&gt;=400),IF(G7-D7=$BG$6,"P",IF(G7-D7=$BH$6,"Q","")),"")</f>
        <v/>
      </c>
      <c r="BG7" s="57" t="s">
        <v>96</v>
      </c>
      <c r="BH7" s="67" t="s">
        <v>116</v>
      </c>
      <c r="BI7" s="65"/>
      <c r="BJ7" s="75" t="str">
        <f>IF(AND(G7&gt;=94,G7&lt;=218),"SI","")</f>
        <v/>
      </c>
      <c r="BK7" s="52">
        <f>IF(BL7="T",1,0)</f>
        <v>0</v>
      </c>
      <c r="BL7" s="75" t="str">
        <f>IF(D7&lt;&gt;78,IF(E7&gt;1164,"Z",IF(AND(F7&gt;=350,E7&lt;=1164),"T",IF(F7&gt;=300,"U",""))),"")</f>
        <v/>
      </c>
      <c r="BM7" s="57" t="s">
        <v>121</v>
      </c>
      <c r="BN7" s="67" t="s">
        <v>123</v>
      </c>
      <c r="BO7" s="67" t="s">
        <v>124</v>
      </c>
      <c r="BP7" s="67" t="s">
        <v>163</v>
      </c>
      <c r="BS7" s="89" t="str">
        <f>IF(AND(L7="SU MISURA",F7=650),"_A1",IF(AND(L7="SU MISURA",F7=550),"_A2",IF(AND(L7="SU MISURA",F7=500),"_A3",IF(AND(L7="SU MISURA",F7=450),"_A4",IF(AND(L7="SU MISURA",F7=400),"_A5",IF(AND(L7="SU MISURA",F7=350),"_A6",""))))))</f>
        <v/>
      </c>
      <c r="BT7" s="90" t="str">
        <f>IF(M7&lt;&gt;"",D7,"")</f>
        <v/>
      </c>
      <c r="BU7" s="111" t="str">
        <f>IF(M7&lt;&gt;"",G7,"")</f>
        <v/>
      </c>
      <c r="BV7" s="122" t="str">
        <f>IF(O7&gt;0,"SI","")</f>
        <v/>
      </c>
      <c r="BW7" s="123" t="str">
        <f>IF(AND(P7="SI",O7=40,G7&lt;=185),"HPTO20",IF(AND(P7="SI",O7=40,G7&gt;=186),"HPTO40",IF(AND(P7="SI",O7=70),"HPTO70","")))</f>
        <v/>
      </c>
      <c r="BX7" s="102" t="str">
        <f>IF(BW7="HPTO20",B7,"")</f>
        <v/>
      </c>
      <c r="BY7" s="102" t="str">
        <f>IF(BW7="HPTO40",B7,"")</f>
        <v/>
      </c>
      <c r="BZ7" s="117" t="str">
        <f>IF(BW7="HPTO70",B7,"")</f>
        <v/>
      </c>
      <c r="CA7" s="112" t="str">
        <f t="shared" ref="CA7:CA17" si="0">IF(BW7&lt;&gt;"","SI","")</f>
        <v/>
      </c>
      <c r="CB7" s="108" t="str">
        <f>IF(AND(L7="PLASTICA",C7="ANTRACITE"),"EMSLGRA",IF(AND(L7="PLASTICA",C7="ARGENTO"),"EMSLGRI",IF(AND(L7="PLASTICA",C7="BIANCO"),"EMSLBI","")))</f>
        <v/>
      </c>
      <c r="CC7" s="82" t="str">
        <f>IF(CB7="EMSLGRA",B7,"")</f>
        <v/>
      </c>
      <c r="CD7" s="82" t="str">
        <f>IF(CB7="EMSLGRI",B7,"")</f>
        <v/>
      </c>
      <c r="CE7" s="109" t="str">
        <f>IF(CB7="EMSLBI",B7,"")</f>
        <v/>
      </c>
      <c r="CF7" s="104" t="str">
        <f>IF(AND(L7="STANDARD",E7=860,OR(C7="ANTRACITE",C7="ARGENTO")),B7,"")</f>
        <v/>
      </c>
      <c r="CG7" s="83" t="str">
        <f>IF(AND(L7="STANDARD",E7=860,C7="BIANCO"),B7,"")</f>
        <v/>
      </c>
      <c r="CH7" s="83" t="str">
        <f>IF(AND(L7="STANDARD",E7=1160,OR(C7="ANTRACITE",C7="ARGENTO")),B7,"")</f>
        <v/>
      </c>
      <c r="CI7" s="105" t="str">
        <f>IF(AND(L7="STANDARD",E7=1160,C7="BIANCO"),B7,"")</f>
        <v/>
      </c>
    </row>
    <row r="8" spans="1:87" s="52" customFormat="1" ht="23.1" customHeight="1" thickBot="1">
      <c r="A8" s="143" t="s">
        <v>99</v>
      </c>
      <c r="B8" s="96"/>
      <c r="C8" s="96"/>
      <c r="D8" s="96"/>
      <c r="E8" s="96"/>
      <c r="F8" s="96"/>
      <c r="G8" s="96"/>
      <c r="H8" s="96"/>
      <c r="I8" s="96"/>
      <c r="J8" s="96"/>
      <c r="K8" s="128"/>
      <c r="L8" s="179"/>
      <c r="M8" s="96"/>
      <c r="N8" s="131"/>
      <c r="O8" s="132"/>
      <c r="P8" s="96"/>
      <c r="Q8" s="96"/>
      <c r="R8" s="124" t="str">
        <f>IF(OR(G8&lt;=126,(OR(H8&lt;&gt;"",I8&lt;&gt;"",J8&lt;&gt;"")*AND(G8&gt;126))),IFERROR(IF(CARTELLINO!AJ26&gt;0,CARTELLINO!AJ26*2,""),"MANCANO DATI"),"MANCANO DATI")</f>
        <v/>
      </c>
      <c r="AG8" s="76" t="str">
        <f t="shared" ref="AG8:AG16" si="1">IF(D8=78,"A",IF(D8=94,"B",IF(D8=126,"D","")))</f>
        <v/>
      </c>
      <c r="AH8" s="69">
        <v>78</v>
      </c>
      <c r="AI8" s="69">
        <v>78</v>
      </c>
      <c r="AJ8" s="69">
        <v>78</v>
      </c>
      <c r="AK8" s="61">
        <v>500</v>
      </c>
      <c r="AL8" s="206">
        <v>270</v>
      </c>
      <c r="AM8" s="207"/>
      <c r="AN8" s="87" t="str">
        <f t="shared" ref="AN8:AN16" si="2">IF(F8=$AO$8,$AP$8,IF(F8=$AO$9,$AP$9,IF(F8=$AO$10,$AP$10,IF(F8=$AO$11,$AP$11,IF(F8=$AO$12,$AP$12,IF(F8=$AO$13,$AP$13,IF(F8=$AO$14,$AP$14,IF(F8=$AO$15,$AP$15,""))))))))</f>
        <v/>
      </c>
      <c r="AO8" s="69">
        <v>270</v>
      </c>
      <c r="AP8" s="63" t="s">
        <v>132</v>
      </c>
      <c r="AQ8" s="63">
        <v>40</v>
      </c>
      <c r="AR8" s="64"/>
      <c r="AS8" s="76" t="str">
        <f t="shared" ref="AS8:AS16" si="3">IF(D8=78,"G",IF(D8=94,"H",IF(D8=126,"I","")))</f>
        <v/>
      </c>
      <c r="AT8" s="73">
        <v>78</v>
      </c>
      <c r="AU8" s="54">
        <v>94</v>
      </c>
      <c r="AV8" s="54">
        <v>126</v>
      </c>
      <c r="AW8" s="65"/>
      <c r="AX8" s="76" t="str">
        <f>IF(AND(I8="",J8=""),IF(G8=186,"L",IF(OR(G8=218,G8=250,G8=282),"M","")),"")</f>
        <v/>
      </c>
      <c r="AY8" s="73" t="s">
        <v>110</v>
      </c>
      <c r="AZ8" s="54" t="s">
        <v>110</v>
      </c>
      <c r="BB8" s="75" t="str">
        <f t="shared" ref="BB8:BB17" si="4">IF(AND(H8="",J8=""),IF(G8-D8=$BC$6,"N",""))</f>
        <v/>
      </c>
      <c r="BC8" s="57" t="s">
        <v>109</v>
      </c>
      <c r="BD8" s="57"/>
      <c r="BF8" s="76" t="str">
        <f t="shared" ref="BF8:BF16" si="5">IF(AND(H8="",I8="",F8&gt;=400),IF(G8-D8=$BG$6,"P",IF(G8-D8=$BH$6,"Q","")),"")</f>
        <v/>
      </c>
      <c r="BG8" s="57" t="s">
        <v>109</v>
      </c>
      <c r="BH8" s="57" t="s">
        <v>109</v>
      </c>
      <c r="BI8" s="65"/>
      <c r="BJ8" s="76" t="str">
        <f t="shared" ref="BJ8:BJ16" si="6">IF(AND(G8&gt;=94,G8&lt;=218),"SI","")</f>
        <v/>
      </c>
      <c r="BK8" s="52">
        <f t="shared" ref="BK8:BK17" si="7">IF(BL8="T",1,0)</f>
        <v>0</v>
      </c>
      <c r="BL8" s="75" t="str">
        <f t="shared" ref="BL8:BL17" si="8">IF(D8&lt;&gt;78,IF(E8&gt;1164,"Z",IF(AND(F8&gt;=350,E8&lt;=1164),"T",IF(F8&gt;=300,"U",""))),"")</f>
        <v/>
      </c>
      <c r="BM8" s="57" t="str">
        <f>IF($F$7&gt;=300,"PLASTICA","")</f>
        <v/>
      </c>
      <c r="BN8" s="57" t="s">
        <v>118</v>
      </c>
      <c r="BO8" s="57" t="s">
        <v>118</v>
      </c>
      <c r="BP8" s="57" t="s">
        <v>118</v>
      </c>
      <c r="BS8" s="76" t="str">
        <f t="shared" ref="BS8:BS16" si="9">IF(AND(L8="SU MISURA",F8=650),"_A1",IF(AND(L8="SU MISURA",F8=550),"_A2",IF(AND(L8="SU MISURA",F8=500),"_A3",IF(AND(L8="SU MISURA",F8=450),"_A4",IF(AND(L8="SU MISURA",F8=400),"_A5",IF(AND(L8="SU MISURA",F8=350),"_A6",""))))))</f>
        <v/>
      </c>
      <c r="BT8" s="84" t="str">
        <f t="shared" ref="BT8:BT16" si="10">IF(M8&lt;&gt;"",D8,"")</f>
        <v/>
      </c>
      <c r="BU8" s="112" t="str">
        <f t="shared" ref="BU8:BU16" si="11">IF(M8&lt;&gt;"",G8,"")</f>
        <v/>
      </c>
      <c r="BV8" s="122" t="str">
        <f t="shared" ref="BV8:BV17" si="12">IF(O8&gt;0,"SI","")</f>
        <v/>
      </c>
      <c r="BW8" s="123" t="str">
        <f t="shared" ref="BW8:BW17" si="13">IF(AND(P8="SI",O8=40,G8&lt;=185),"HPTO20",IF(AND(P8="SI",O8=40,G8&gt;=186),"HPTO40",IF(AND(P8="SI",O8=70),"HPTO70","")))</f>
        <v/>
      </c>
      <c r="BX8" s="102" t="str">
        <f t="shared" ref="BX8:BX17" si="14">IF(BW8="HPTO20",B8,"")</f>
        <v/>
      </c>
      <c r="BY8" s="102" t="str">
        <f t="shared" ref="BY8:BY17" si="15">IF(BW8="HPTO40",B8,"")</f>
        <v/>
      </c>
      <c r="BZ8" s="117" t="str">
        <f t="shared" ref="BZ8:BZ17" si="16">IF(BW8="HPTO70",B8,"")</f>
        <v/>
      </c>
      <c r="CA8" s="112" t="str">
        <f t="shared" si="0"/>
        <v/>
      </c>
      <c r="CB8" s="108" t="str">
        <f>IF(AND(L8="PLASTICA",C8="ANTRACITE"),"EMSLGRA",IF(AND(L8="PLASTICA",C8="ARGENTO"),"EMSLGRI",IF(AND(L8="PLASTICA",C8="BIANCO"),"EMSLBI","")))</f>
        <v/>
      </c>
      <c r="CC8" s="82" t="str">
        <f t="shared" ref="CC8:CC17" si="17">IF(CB8="EMSLGRA",B8,"")</f>
        <v/>
      </c>
      <c r="CD8" s="82" t="str">
        <f t="shared" ref="CD8:CD17" si="18">IF(CB8="EMSLGRI",B8,"")</f>
        <v/>
      </c>
      <c r="CE8" s="109" t="str">
        <f t="shared" ref="CE8:CE17" si="19">IF(CB8="EMSLBI",B8,"")</f>
        <v/>
      </c>
      <c r="CF8" s="104" t="str">
        <f t="shared" ref="CF8:CF17" si="20">IF(AND(L8="STANDARD",E8=860,OR(C8="ANTRACITE",C8="ARGENTO")),B8,"")</f>
        <v/>
      </c>
      <c r="CG8" s="83" t="str">
        <f t="shared" ref="CG8:CG17" si="21">IF(AND(L8="STANDARD",E8=860,C8="BIANCO"),B8,"")</f>
        <v/>
      </c>
      <c r="CH8" s="83" t="str">
        <f t="shared" ref="CH8:CH17" si="22">IF(AND(L8="STANDARD",E8=1160,OR(C8="ANTRACITE",C8="ARGENTO")),B8,"")</f>
        <v/>
      </c>
      <c r="CI8" s="105" t="str">
        <f t="shared" ref="CI8:CI17" si="23">IF(AND(L8="STANDARD",E8=1160,C8="BIANCO"),B8,"")</f>
        <v/>
      </c>
    </row>
    <row r="9" spans="1:87" s="52" customFormat="1" ht="23.1" customHeight="1" thickBot="1">
      <c r="A9" s="143" t="s">
        <v>100</v>
      </c>
      <c r="B9" s="96"/>
      <c r="C9" s="96"/>
      <c r="D9" s="96"/>
      <c r="E9" s="96"/>
      <c r="F9" s="96"/>
      <c r="G9" s="96"/>
      <c r="H9" s="96"/>
      <c r="I9" s="96"/>
      <c r="J9" s="96"/>
      <c r="K9" s="128"/>
      <c r="L9" s="179"/>
      <c r="M9" s="96"/>
      <c r="N9" s="131"/>
      <c r="O9" s="132"/>
      <c r="P9" s="96"/>
      <c r="Q9" s="96"/>
      <c r="R9" s="124" t="str">
        <f>IF(OR(G9&lt;=126,(OR(H9&lt;&gt;"",I9&lt;&gt;"",J9&lt;&gt;"")*AND(G9&gt;126))),IFERROR(IF(CARTELLINO!AJ28&gt;0,CARTELLINO!AJ28*2,""),"MANCANO DATI"),"MANCANO DATI")</f>
        <v/>
      </c>
      <c r="AG9" s="76" t="str">
        <f t="shared" si="1"/>
        <v/>
      </c>
      <c r="AH9" s="69">
        <v>94</v>
      </c>
      <c r="AI9" s="69">
        <v>94</v>
      </c>
      <c r="AJ9" s="69">
        <v>94</v>
      </c>
      <c r="AK9" s="63"/>
      <c r="AL9" s="193">
        <v>300</v>
      </c>
      <c r="AM9" s="194"/>
      <c r="AN9" s="87" t="str">
        <f t="shared" si="2"/>
        <v/>
      </c>
      <c r="AO9" s="69">
        <v>300</v>
      </c>
      <c r="AP9" s="63" t="s">
        <v>132</v>
      </c>
      <c r="AQ9" s="63">
        <v>40</v>
      </c>
      <c r="AR9" s="64"/>
      <c r="AS9" s="76" t="str">
        <f t="shared" si="3"/>
        <v/>
      </c>
      <c r="AT9" s="73"/>
      <c r="AU9" s="54">
        <v>186</v>
      </c>
      <c r="AV9" s="54">
        <v>186</v>
      </c>
      <c r="AW9" s="65"/>
      <c r="AX9" s="76" t="str">
        <f>IF(AND(I9="",J9=""),IF(G9=186,"L",IF(OR(G9=218,G9=250,G9=282),"M","")),"")</f>
        <v/>
      </c>
      <c r="AY9" s="73"/>
      <c r="AZ9" s="54" t="s">
        <v>111</v>
      </c>
      <c r="BB9" s="75" t="str">
        <f t="shared" si="4"/>
        <v/>
      </c>
      <c r="BC9" s="73"/>
      <c r="BD9" s="54"/>
      <c r="BF9" s="76" t="str">
        <f t="shared" si="5"/>
        <v/>
      </c>
      <c r="BG9" s="73"/>
      <c r="BH9" s="54"/>
      <c r="BI9" s="65"/>
      <c r="BJ9" s="76" t="str">
        <f t="shared" si="6"/>
        <v/>
      </c>
      <c r="BK9" s="52">
        <f t="shared" si="7"/>
        <v>0</v>
      </c>
      <c r="BL9" s="75" t="str">
        <f t="shared" si="8"/>
        <v/>
      </c>
      <c r="BM9" s="177" t="s">
        <v>161</v>
      </c>
      <c r="BN9" s="177" t="s">
        <v>161</v>
      </c>
      <c r="BO9" s="177" t="s">
        <v>161</v>
      </c>
      <c r="BS9" s="76" t="str">
        <f t="shared" si="9"/>
        <v/>
      </c>
      <c r="BT9" s="84" t="str">
        <f t="shared" si="10"/>
        <v/>
      </c>
      <c r="BU9" s="112" t="str">
        <f t="shared" si="11"/>
        <v/>
      </c>
      <c r="BV9" s="122" t="str">
        <f t="shared" si="12"/>
        <v/>
      </c>
      <c r="BW9" s="123" t="str">
        <f t="shared" si="13"/>
        <v/>
      </c>
      <c r="BX9" s="102" t="str">
        <f t="shared" si="14"/>
        <v/>
      </c>
      <c r="BY9" s="102" t="str">
        <f t="shared" si="15"/>
        <v/>
      </c>
      <c r="BZ9" s="117" t="str">
        <f t="shared" si="16"/>
        <v/>
      </c>
      <c r="CA9" s="112" t="str">
        <f t="shared" si="0"/>
        <v/>
      </c>
      <c r="CB9" s="108" t="str">
        <f t="shared" ref="CB9:CB17" si="24">IF(AND(L9="PLASTICA",C9="ANTRACITE"),"EMSLGRA",IF(AND(L9="PLASTICA",C9="ARGENTO"),"EMSLGRI",IF(AND(L9="PLASTICA",C9="BIANCO"),"EMSLBI","")))</f>
        <v/>
      </c>
      <c r="CC9" s="82" t="str">
        <f t="shared" si="17"/>
        <v/>
      </c>
      <c r="CD9" s="82" t="str">
        <f t="shared" si="18"/>
        <v/>
      </c>
      <c r="CE9" s="109" t="str">
        <f t="shared" si="19"/>
        <v/>
      </c>
      <c r="CF9" s="104" t="str">
        <f t="shared" si="20"/>
        <v/>
      </c>
      <c r="CG9" s="83" t="str">
        <f t="shared" si="21"/>
        <v/>
      </c>
      <c r="CH9" s="83" t="str">
        <f t="shared" si="22"/>
        <v/>
      </c>
      <c r="CI9" s="105" t="str">
        <f t="shared" si="23"/>
        <v/>
      </c>
    </row>
    <row r="10" spans="1:87" s="52" customFormat="1" ht="23.1" customHeight="1" thickBot="1">
      <c r="A10" s="143" t="s">
        <v>101</v>
      </c>
      <c r="B10" s="96"/>
      <c r="C10" s="96"/>
      <c r="D10" s="96"/>
      <c r="E10" s="96"/>
      <c r="F10" s="96"/>
      <c r="G10" s="96"/>
      <c r="H10" s="96"/>
      <c r="I10" s="96"/>
      <c r="J10" s="96"/>
      <c r="K10" s="128"/>
      <c r="L10" s="179"/>
      <c r="M10" s="96"/>
      <c r="N10" s="131"/>
      <c r="O10" s="132"/>
      <c r="P10" s="96"/>
      <c r="Q10" s="96"/>
      <c r="R10" s="124" t="str">
        <f>IF(OR(G10&lt;=126,(OR(H10&lt;&gt;"",I10&lt;&gt;"",J10&lt;&gt;"")*AND(G10&gt;126))),IFERROR(IF(CARTELLINO!AJ30&gt;0,CARTELLINO!AJ30*2,""),"MANCANO DATI"),"MANCANO DATI")</f>
        <v/>
      </c>
      <c r="AG10" s="76" t="str">
        <f t="shared" si="1"/>
        <v/>
      </c>
      <c r="AH10" s="69">
        <v>126</v>
      </c>
      <c r="AI10" s="69">
        <v>126</v>
      </c>
      <c r="AJ10" s="69">
        <v>126</v>
      </c>
      <c r="AK10" s="63"/>
      <c r="AL10" s="193">
        <v>350</v>
      </c>
      <c r="AM10" s="194"/>
      <c r="AN10" s="87" t="str">
        <f t="shared" si="2"/>
        <v/>
      </c>
      <c r="AO10" s="69">
        <v>350</v>
      </c>
      <c r="AP10" s="63" t="s">
        <v>132</v>
      </c>
      <c r="AQ10" s="63">
        <v>40</v>
      </c>
      <c r="AR10" s="64"/>
      <c r="AS10" s="76" t="str">
        <f t="shared" si="3"/>
        <v/>
      </c>
      <c r="AT10" s="73"/>
      <c r="AU10" s="54">
        <v>218</v>
      </c>
      <c r="AV10" s="54">
        <v>218</v>
      </c>
      <c r="AW10" s="65"/>
      <c r="AX10" s="76" t="str">
        <f t="shared" ref="AX10:AX16" si="25">IF(AND(I10="",J10=""),IF(G10=186,"L",IF(OR(G10=218,G10=250,G10=282),"M","")),"")</f>
        <v/>
      </c>
      <c r="AY10" s="65"/>
      <c r="AZ10" s="65"/>
      <c r="BB10" s="75" t="str">
        <f t="shared" si="4"/>
        <v/>
      </c>
      <c r="BC10" s="65"/>
      <c r="BD10" s="65"/>
      <c r="BF10" s="76" t="str">
        <f t="shared" si="5"/>
        <v/>
      </c>
      <c r="BG10" s="65"/>
      <c r="BH10" s="65"/>
      <c r="BI10" s="65"/>
      <c r="BJ10" s="76" t="str">
        <f t="shared" si="6"/>
        <v/>
      </c>
      <c r="BK10" s="52">
        <f t="shared" si="7"/>
        <v>0</v>
      </c>
      <c r="BL10" s="75" t="str">
        <f t="shared" si="8"/>
        <v/>
      </c>
      <c r="BM10" s="81" t="s">
        <v>119</v>
      </c>
      <c r="BN10" s="65"/>
      <c r="BS10" s="76" t="str">
        <f t="shared" si="9"/>
        <v/>
      </c>
      <c r="BT10" s="84" t="str">
        <f t="shared" si="10"/>
        <v/>
      </c>
      <c r="BU10" s="112" t="str">
        <f t="shared" si="11"/>
        <v/>
      </c>
      <c r="BV10" s="122" t="str">
        <f t="shared" si="12"/>
        <v/>
      </c>
      <c r="BW10" s="123" t="str">
        <f t="shared" si="13"/>
        <v/>
      </c>
      <c r="BX10" s="102" t="str">
        <f t="shared" si="14"/>
        <v/>
      </c>
      <c r="BY10" s="102" t="str">
        <f t="shared" si="15"/>
        <v/>
      </c>
      <c r="BZ10" s="117" t="str">
        <f t="shared" si="16"/>
        <v/>
      </c>
      <c r="CA10" s="112" t="str">
        <f t="shared" si="0"/>
        <v/>
      </c>
      <c r="CB10" s="108" t="str">
        <f t="shared" si="24"/>
        <v/>
      </c>
      <c r="CC10" s="82" t="str">
        <f t="shared" si="17"/>
        <v/>
      </c>
      <c r="CD10" s="82" t="str">
        <f t="shared" si="18"/>
        <v/>
      </c>
      <c r="CE10" s="109" t="str">
        <f t="shared" si="19"/>
        <v/>
      </c>
      <c r="CF10" s="104" t="str">
        <f t="shared" si="20"/>
        <v/>
      </c>
      <c r="CG10" s="83" t="str">
        <f t="shared" si="21"/>
        <v/>
      </c>
      <c r="CH10" s="83" t="str">
        <f t="shared" si="22"/>
        <v/>
      </c>
      <c r="CI10" s="105" t="str">
        <f t="shared" si="23"/>
        <v/>
      </c>
    </row>
    <row r="11" spans="1:87" s="52" customFormat="1" ht="23.1" customHeight="1" thickBot="1">
      <c r="A11" s="143" t="s">
        <v>102</v>
      </c>
      <c r="B11" s="96"/>
      <c r="C11" s="96"/>
      <c r="D11" s="96"/>
      <c r="E11" s="96"/>
      <c r="F11" s="96"/>
      <c r="G11" s="96"/>
      <c r="H11" s="96"/>
      <c r="I11" s="96"/>
      <c r="J11" s="96"/>
      <c r="K11" s="128"/>
      <c r="L11" s="179"/>
      <c r="M11" s="96"/>
      <c r="N11" s="131"/>
      <c r="O11" s="132"/>
      <c r="P11" s="96"/>
      <c r="Q11" s="96"/>
      <c r="R11" s="124" t="str">
        <f>IF(OR(G11&lt;=126,(OR(H11&lt;&gt;"",I11&lt;&gt;"",J11&lt;&gt;"")*AND(G11&gt;126))),IFERROR(IF(CARTELLINO!AJ32&gt;0,CARTELLINO!AJ32*2,""),"MANCANO DATI"),"MANCANO DATI")</f>
        <v/>
      </c>
      <c r="AG11" s="76" t="str">
        <f t="shared" si="1"/>
        <v/>
      </c>
      <c r="AH11" s="65"/>
      <c r="AI11" s="65"/>
      <c r="AJ11" s="63"/>
      <c r="AK11" s="63"/>
      <c r="AL11" s="193">
        <v>400</v>
      </c>
      <c r="AM11" s="194"/>
      <c r="AN11" s="87" t="str">
        <f t="shared" si="2"/>
        <v/>
      </c>
      <c r="AO11" s="69">
        <v>400</v>
      </c>
      <c r="AP11" s="63" t="s">
        <v>102</v>
      </c>
      <c r="AQ11" s="63">
        <v>40</v>
      </c>
      <c r="AR11" s="64">
        <v>70</v>
      </c>
      <c r="AS11" s="76" t="str">
        <f t="shared" si="3"/>
        <v/>
      </c>
      <c r="AT11" s="73"/>
      <c r="AU11" s="54">
        <v>250</v>
      </c>
      <c r="AV11" s="54">
        <v>250</v>
      </c>
      <c r="AW11" s="65"/>
      <c r="AX11" s="76" t="str">
        <f t="shared" si="25"/>
        <v/>
      </c>
      <c r="AY11" s="65"/>
      <c r="AZ11" s="65"/>
      <c r="BB11" s="75" t="str">
        <f t="shared" si="4"/>
        <v/>
      </c>
      <c r="BC11" s="65"/>
      <c r="BD11" s="65"/>
      <c r="BF11" s="76" t="str">
        <f t="shared" si="5"/>
        <v/>
      </c>
      <c r="BG11" s="65"/>
      <c r="BH11" s="65"/>
      <c r="BI11" s="65"/>
      <c r="BJ11" s="76" t="str">
        <f t="shared" si="6"/>
        <v/>
      </c>
      <c r="BK11" s="52">
        <f t="shared" si="7"/>
        <v>0</v>
      </c>
      <c r="BL11" s="75" t="str">
        <f t="shared" si="8"/>
        <v/>
      </c>
      <c r="BM11" s="73" t="s">
        <v>125</v>
      </c>
      <c r="BN11" s="54" t="s">
        <v>126</v>
      </c>
      <c r="BO11" s="54" t="s">
        <v>127</v>
      </c>
      <c r="BP11" s="54" t="s">
        <v>128</v>
      </c>
      <c r="BQ11" s="54" t="s">
        <v>129</v>
      </c>
      <c r="BR11" s="74" t="s">
        <v>130</v>
      </c>
      <c r="BS11" s="76" t="str">
        <f t="shared" si="9"/>
        <v/>
      </c>
      <c r="BT11" s="84" t="str">
        <f t="shared" si="10"/>
        <v/>
      </c>
      <c r="BU11" s="112" t="str">
        <f t="shared" si="11"/>
        <v/>
      </c>
      <c r="BV11" s="122" t="str">
        <f t="shared" si="12"/>
        <v/>
      </c>
      <c r="BW11" s="123" t="str">
        <f t="shared" si="13"/>
        <v/>
      </c>
      <c r="BX11" s="102" t="str">
        <f t="shared" si="14"/>
        <v/>
      </c>
      <c r="BY11" s="102" t="str">
        <f t="shared" si="15"/>
        <v/>
      </c>
      <c r="BZ11" s="117" t="str">
        <f t="shared" si="16"/>
        <v/>
      </c>
      <c r="CA11" s="112" t="str">
        <f t="shared" si="0"/>
        <v/>
      </c>
      <c r="CB11" s="108" t="str">
        <f t="shared" si="24"/>
        <v/>
      </c>
      <c r="CC11" s="82" t="str">
        <f t="shared" si="17"/>
        <v/>
      </c>
      <c r="CD11" s="82" t="str">
        <f t="shared" si="18"/>
        <v/>
      </c>
      <c r="CE11" s="109" t="str">
        <f t="shared" si="19"/>
        <v/>
      </c>
      <c r="CF11" s="104" t="str">
        <f t="shared" si="20"/>
        <v/>
      </c>
      <c r="CG11" s="83" t="str">
        <f t="shared" si="21"/>
        <v/>
      </c>
      <c r="CH11" s="83" t="str">
        <f t="shared" si="22"/>
        <v/>
      </c>
      <c r="CI11" s="105" t="str">
        <f t="shared" si="23"/>
        <v/>
      </c>
    </row>
    <row r="12" spans="1:87" s="52" customFormat="1" ht="23.1" customHeight="1" thickBot="1">
      <c r="A12" s="143" t="s">
        <v>103</v>
      </c>
      <c r="B12" s="96"/>
      <c r="C12" s="96"/>
      <c r="D12" s="96"/>
      <c r="E12" s="96"/>
      <c r="F12" s="96"/>
      <c r="G12" s="96"/>
      <c r="H12" s="96"/>
      <c r="I12" s="96"/>
      <c r="J12" s="96"/>
      <c r="K12" s="128"/>
      <c r="L12" s="179"/>
      <c r="M12" s="96"/>
      <c r="N12" s="131"/>
      <c r="O12" s="132"/>
      <c r="P12" s="96"/>
      <c r="Q12" s="96"/>
      <c r="R12" s="124" t="str">
        <f>IF(OR(G12&lt;=126,(OR(H12&lt;&gt;"",I12&lt;&gt;"",J12&lt;&gt;"")*AND(G12&gt;126))),IFERROR(IF(CARTELLINO!AJ34&gt;0,CARTELLINO!AJ34*2,""),"MANCANO DATI"),"MANCANO DATI")</f>
        <v/>
      </c>
      <c r="AG12" s="76" t="str">
        <f t="shared" si="1"/>
        <v/>
      </c>
      <c r="AH12" s="65"/>
      <c r="AI12" s="65"/>
      <c r="AJ12" s="63"/>
      <c r="AK12" s="63"/>
      <c r="AL12" s="193">
        <v>450</v>
      </c>
      <c r="AM12" s="194"/>
      <c r="AN12" s="87" t="str">
        <f t="shared" si="2"/>
        <v/>
      </c>
      <c r="AO12" s="69">
        <v>450</v>
      </c>
      <c r="AP12" s="63" t="s">
        <v>102</v>
      </c>
      <c r="AQ12" s="63">
        <v>40</v>
      </c>
      <c r="AR12" s="64">
        <v>70</v>
      </c>
      <c r="AS12" s="76" t="str">
        <f t="shared" si="3"/>
        <v/>
      </c>
      <c r="AT12" s="65"/>
      <c r="AU12" s="54">
        <v>282</v>
      </c>
      <c r="AV12" s="54">
        <v>282</v>
      </c>
      <c r="AW12" s="65"/>
      <c r="AX12" s="76" t="str">
        <f t="shared" si="25"/>
        <v/>
      </c>
      <c r="AY12" s="65"/>
      <c r="AZ12" s="65"/>
      <c r="BB12" s="75" t="str">
        <f t="shared" si="4"/>
        <v/>
      </c>
      <c r="BC12" s="65"/>
      <c r="BD12" s="65"/>
      <c r="BF12" s="76" t="str">
        <f t="shared" si="5"/>
        <v/>
      </c>
      <c r="BG12" s="65"/>
      <c r="BH12" s="65"/>
      <c r="BI12" s="65"/>
      <c r="BJ12" s="76" t="str">
        <f t="shared" si="6"/>
        <v/>
      </c>
      <c r="BK12" s="52">
        <f t="shared" si="7"/>
        <v>0</v>
      </c>
      <c r="BL12" s="75" t="str">
        <f t="shared" si="8"/>
        <v/>
      </c>
      <c r="BM12" s="73">
        <v>270</v>
      </c>
      <c r="BN12" s="54">
        <v>270</v>
      </c>
      <c r="BO12" s="54">
        <v>270</v>
      </c>
      <c r="BP12" s="54">
        <v>270</v>
      </c>
      <c r="BQ12" s="54">
        <v>270</v>
      </c>
      <c r="BR12" s="74">
        <v>270</v>
      </c>
      <c r="BS12" s="76" t="str">
        <f t="shared" si="9"/>
        <v/>
      </c>
      <c r="BT12" s="84" t="str">
        <f t="shared" si="10"/>
        <v/>
      </c>
      <c r="BU12" s="112" t="str">
        <f t="shared" si="11"/>
        <v/>
      </c>
      <c r="BV12" s="122" t="str">
        <f t="shared" si="12"/>
        <v/>
      </c>
      <c r="BW12" s="123" t="str">
        <f t="shared" si="13"/>
        <v/>
      </c>
      <c r="BX12" s="102" t="str">
        <f t="shared" si="14"/>
        <v/>
      </c>
      <c r="BY12" s="102" t="str">
        <f t="shared" si="15"/>
        <v/>
      </c>
      <c r="BZ12" s="117" t="str">
        <f t="shared" si="16"/>
        <v/>
      </c>
      <c r="CA12" s="112" t="str">
        <f t="shared" si="0"/>
        <v/>
      </c>
      <c r="CB12" s="108" t="str">
        <f t="shared" si="24"/>
        <v/>
      </c>
      <c r="CC12" s="82" t="str">
        <f t="shared" si="17"/>
        <v/>
      </c>
      <c r="CD12" s="82" t="str">
        <f t="shared" si="18"/>
        <v/>
      </c>
      <c r="CE12" s="109" t="str">
        <f t="shared" si="19"/>
        <v/>
      </c>
      <c r="CF12" s="104" t="str">
        <f t="shared" si="20"/>
        <v/>
      </c>
      <c r="CG12" s="83" t="str">
        <f t="shared" si="21"/>
        <v/>
      </c>
      <c r="CH12" s="83" t="str">
        <f t="shared" si="22"/>
        <v/>
      </c>
      <c r="CI12" s="105" t="str">
        <f t="shared" si="23"/>
        <v/>
      </c>
    </row>
    <row r="13" spans="1:87" s="52" customFormat="1" ht="23.1" customHeight="1" thickBot="1">
      <c r="A13" s="143" t="s">
        <v>104</v>
      </c>
      <c r="B13" s="96"/>
      <c r="C13" s="96"/>
      <c r="D13" s="96"/>
      <c r="E13" s="96"/>
      <c r="F13" s="96"/>
      <c r="G13" s="96"/>
      <c r="H13" s="96"/>
      <c r="I13" s="96"/>
      <c r="J13" s="96"/>
      <c r="K13" s="128"/>
      <c r="L13" s="179"/>
      <c r="M13" s="96"/>
      <c r="N13" s="131"/>
      <c r="O13" s="132"/>
      <c r="P13" s="96"/>
      <c r="Q13" s="96"/>
      <c r="R13" s="124" t="str">
        <f>IF(OR(G13&lt;=126,(OR(H13&lt;&gt;"",I13&lt;&gt;"",J13&lt;&gt;"")*AND(G13&gt;126))),IFERROR(IF(CARTELLINO!AJ36&gt;0,CARTELLINO!AJ36*2,""),"MANCANO DATI"),"MANCANO DATI")</f>
        <v/>
      </c>
      <c r="AG13" s="76" t="str">
        <f t="shared" si="1"/>
        <v/>
      </c>
      <c r="AH13" s="65"/>
      <c r="AI13" s="65"/>
      <c r="AJ13" s="63"/>
      <c r="AK13" s="63"/>
      <c r="AL13" s="193">
        <v>500</v>
      </c>
      <c r="AM13" s="194"/>
      <c r="AN13" s="87" t="str">
        <f t="shared" si="2"/>
        <v/>
      </c>
      <c r="AO13" s="69">
        <v>500</v>
      </c>
      <c r="AP13" s="63" t="s">
        <v>102</v>
      </c>
      <c r="AQ13" s="63">
        <v>40</v>
      </c>
      <c r="AR13" s="64">
        <v>70</v>
      </c>
      <c r="AS13" s="76" t="str">
        <f t="shared" si="3"/>
        <v/>
      </c>
      <c r="AT13" s="65"/>
      <c r="AU13" s="54"/>
      <c r="AV13" s="54"/>
      <c r="AW13" s="65"/>
      <c r="AX13" s="76" t="str">
        <f t="shared" si="25"/>
        <v/>
      </c>
      <c r="AY13" s="65"/>
      <c r="AZ13" s="65"/>
      <c r="BB13" s="75" t="str">
        <f t="shared" si="4"/>
        <v/>
      </c>
      <c r="BC13" s="65"/>
      <c r="BD13" s="65"/>
      <c r="BF13" s="76" t="str">
        <f t="shared" si="5"/>
        <v/>
      </c>
      <c r="BG13" s="65"/>
      <c r="BH13" s="65"/>
      <c r="BI13" s="65"/>
      <c r="BJ13" s="76" t="str">
        <f t="shared" si="6"/>
        <v/>
      </c>
      <c r="BK13" s="52">
        <f t="shared" si="7"/>
        <v>0</v>
      </c>
      <c r="BL13" s="75" t="str">
        <f t="shared" si="8"/>
        <v/>
      </c>
      <c r="BM13" s="73">
        <v>300</v>
      </c>
      <c r="BN13" s="54">
        <v>300</v>
      </c>
      <c r="BO13" s="54">
        <v>300</v>
      </c>
      <c r="BP13" s="54">
        <v>300</v>
      </c>
      <c r="BQ13" s="54">
        <v>300</v>
      </c>
      <c r="BR13" s="74"/>
      <c r="BS13" s="76" t="str">
        <f t="shared" si="9"/>
        <v/>
      </c>
      <c r="BT13" s="84" t="str">
        <f t="shared" si="10"/>
        <v/>
      </c>
      <c r="BU13" s="112" t="str">
        <f t="shared" si="11"/>
        <v/>
      </c>
      <c r="BV13" s="122" t="str">
        <f t="shared" si="12"/>
        <v/>
      </c>
      <c r="BW13" s="123" t="str">
        <f t="shared" si="13"/>
        <v/>
      </c>
      <c r="BX13" s="102" t="str">
        <f t="shared" si="14"/>
        <v/>
      </c>
      <c r="BY13" s="102" t="str">
        <f t="shared" si="15"/>
        <v/>
      </c>
      <c r="BZ13" s="117" t="str">
        <f t="shared" si="16"/>
        <v/>
      </c>
      <c r="CA13" s="112" t="str">
        <f t="shared" si="0"/>
        <v/>
      </c>
      <c r="CB13" s="108" t="str">
        <f t="shared" si="24"/>
        <v/>
      </c>
      <c r="CC13" s="82" t="str">
        <f t="shared" si="17"/>
        <v/>
      </c>
      <c r="CD13" s="82" t="str">
        <f t="shared" si="18"/>
        <v/>
      </c>
      <c r="CE13" s="109" t="str">
        <f t="shared" si="19"/>
        <v/>
      </c>
      <c r="CF13" s="104" t="str">
        <f t="shared" si="20"/>
        <v/>
      </c>
      <c r="CG13" s="83" t="str">
        <f t="shared" si="21"/>
        <v/>
      </c>
      <c r="CH13" s="83" t="str">
        <f t="shared" si="22"/>
        <v/>
      </c>
      <c r="CI13" s="105" t="str">
        <f t="shared" si="23"/>
        <v/>
      </c>
    </row>
    <row r="14" spans="1:87" s="52" customFormat="1" ht="23.1" customHeight="1" thickBot="1">
      <c r="A14" s="144" t="s">
        <v>9</v>
      </c>
      <c r="B14" s="96"/>
      <c r="C14" s="96"/>
      <c r="D14" s="96"/>
      <c r="E14" s="96"/>
      <c r="F14" s="96"/>
      <c r="G14" s="96"/>
      <c r="H14" s="96"/>
      <c r="I14" s="96"/>
      <c r="J14" s="96"/>
      <c r="K14" s="128"/>
      <c r="L14" s="179"/>
      <c r="M14" s="96"/>
      <c r="N14" s="131"/>
      <c r="O14" s="132"/>
      <c r="P14" s="96"/>
      <c r="Q14" s="96"/>
      <c r="R14" s="124" t="str">
        <f>IF(OR(G14&lt;=126,(OR(H14&lt;&gt;"",I14&lt;&gt;"",J14&lt;&gt;"")*AND(G14&gt;126))),IFERROR(IF(CARTELLINO!AJ38&gt;0,CARTELLINO!AJ38*2,""),"MANCANO DATI"),"MANCANO DATI")</f>
        <v/>
      </c>
      <c r="AG14" s="76" t="str">
        <f t="shared" si="1"/>
        <v/>
      </c>
      <c r="AH14" s="65"/>
      <c r="AI14" s="65"/>
      <c r="AJ14" s="63"/>
      <c r="AK14" s="63"/>
      <c r="AL14" s="193">
        <v>550</v>
      </c>
      <c r="AM14" s="194"/>
      <c r="AN14" s="87" t="str">
        <f t="shared" si="2"/>
        <v/>
      </c>
      <c r="AO14" s="69">
        <v>550</v>
      </c>
      <c r="AP14" s="63" t="s">
        <v>102</v>
      </c>
      <c r="AQ14" s="63">
        <v>40</v>
      </c>
      <c r="AR14" s="64">
        <v>70</v>
      </c>
      <c r="AS14" s="76" t="str">
        <f t="shared" si="3"/>
        <v/>
      </c>
      <c r="AT14" s="65"/>
      <c r="AU14" s="54"/>
      <c r="AV14" s="54"/>
      <c r="AW14" s="65"/>
      <c r="AX14" s="76" t="str">
        <f t="shared" si="25"/>
        <v/>
      </c>
      <c r="AY14" s="65"/>
      <c r="AZ14" s="65"/>
      <c r="BB14" s="75" t="str">
        <f t="shared" si="4"/>
        <v/>
      </c>
      <c r="BC14" s="65"/>
      <c r="BD14" s="65"/>
      <c r="BF14" s="76" t="str">
        <f t="shared" si="5"/>
        <v/>
      </c>
      <c r="BG14" s="65"/>
      <c r="BH14" s="65"/>
      <c r="BI14" s="65"/>
      <c r="BJ14" s="76" t="str">
        <f t="shared" si="6"/>
        <v/>
      </c>
      <c r="BK14" s="52">
        <f t="shared" si="7"/>
        <v>0</v>
      </c>
      <c r="BL14" s="75" t="str">
        <f t="shared" si="8"/>
        <v/>
      </c>
      <c r="BM14" s="73">
        <v>350</v>
      </c>
      <c r="BN14" s="54">
        <v>350</v>
      </c>
      <c r="BO14" s="54">
        <v>350</v>
      </c>
      <c r="BP14" s="54">
        <v>350</v>
      </c>
      <c r="BQ14" s="54"/>
      <c r="BR14" s="74"/>
      <c r="BS14" s="76" t="str">
        <f t="shared" si="9"/>
        <v/>
      </c>
      <c r="BT14" s="84" t="str">
        <f t="shared" si="10"/>
        <v/>
      </c>
      <c r="BU14" s="112" t="str">
        <f t="shared" si="11"/>
        <v/>
      </c>
      <c r="BV14" s="122" t="str">
        <f t="shared" si="12"/>
        <v/>
      </c>
      <c r="BW14" s="123" t="str">
        <f t="shared" si="13"/>
        <v/>
      </c>
      <c r="BX14" s="102" t="str">
        <f t="shared" si="14"/>
        <v/>
      </c>
      <c r="BY14" s="102" t="str">
        <f t="shared" si="15"/>
        <v/>
      </c>
      <c r="BZ14" s="117" t="str">
        <f t="shared" si="16"/>
        <v/>
      </c>
      <c r="CA14" s="112" t="str">
        <f t="shared" si="0"/>
        <v/>
      </c>
      <c r="CB14" s="108" t="str">
        <f t="shared" si="24"/>
        <v/>
      </c>
      <c r="CC14" s="82" t="str">
        <f t="shared" si="17"/>
        <v/>
      </c>
      <c r="CD14" s="82" t="str">
        <f t="shared" si="18"/>
        <v/>
      </c>
      <c r="CE14" s="109" t="str">
        <f t="shared" si="19"/>
        <v/>
      </c>
      <c r="CF14" s="104" t="str">
        <f t="shared" si="20"/>
        <v/>
      </c>
      <c r="CG14" s="83" t="str">
        <f t="shared" si="21"/>
        <v/>
      </c>
      <c r="CH14" s="83" t="str">
        <f t="shared" si="22"/>
        <v/>
      </c>
      <c r="CI14" s="105" t="str">
        <f t="shared" si="23"/>
        <v/>
      </c>
    </row>
    <row r="15" spans="1:87" s="52" customFormat="1" ht="23.1" customHeight="1" thickBot="1">
      <c r="A15" s="143" t="s">
        <v>105</v>
      </c>
      <c r="B15" s="96"/>
      <c r="C15" s="96"/>
      <c r="D15" s="96"/>
      <c r="E15" s="96"/>
      <c r="F15" s="96"/>
      <c r="G15" s="96"/>
      <c r="H15" s="96"/>
      <c r="I15" s="96"/>
      <c r="J15" s="96"/>
      <c r="K15" s="128"/>
      <c r="L15" s="179"/>
      <c r="M15" s="96"/>
      <c r="N15" s="131"/>
      <c r="O15" s="132"/>
      <c r="P15" s="96"/>
      <c r="Q15" s="96"/>
      <c r="R15" s="124" t="str">
        <f>IF(OR(G15&lt;=126,(OR(H15&lt;&gt;"",I15&lt;&gt;"",J15&lt;&gt;"")*AND(G15&gt;126))),IFERROR(IF(CARTELLINO!AJ40&gt;0,CARTELLINO!AJ40*2,""),"MANCANO DATI"),"MANCANO DATI")</f>
        <v/>
      </c>
      <c r="AG15" s="76" t="str">
        <f t="shared" si="1"/>
        <v/>
      </c>
      <c r="AH15" s="65"/>
      <c r="AI15" s="65"/>
      <c r="AJ15" s="63"/>
      <c r="AK15" s="63"/>
      <c r="AL15" s="193">
        <v>650</v>
      </c>
      <c r="AM15" s="194"/>
      <c r="AN15" s="87" t="str">
        <f t="shared" si="2"/>
        <v/>
      </c>
      <c r="AO15" s="69">
        <v>650</v>
      </c>
      <c r="AP15" s="63" t="s">
        <v>103</v>
      </c>
      <c r="AQ15" s="63"/>
      <c r="AR15" s="64">
        <v>70</v>
      </c>
      <c r="AS15" s="76" t="str">
        <f t="shared" si="3"/>
        <v/>
      </c>
      <c r="AT15" s="65"/>
      <c r="AU15" s="65"/>
      <c r="AV15" s="65"/>
      <c r="AW15" s="65"/>
      <c r="AX15" s="76" t="str">
        <f t="shared" si="25"/>
        <v/>
      </c>
      <c r="AY15" s="65"/>
      <c r="AZ15" s="65"/>
      <c r="BB15" s="75" t="str">
        <f t="shared" si="4"/>
        <v/>
      </c>
      <c r="BC15" s="65"/>
      <c r="BD15" s="65"/>
      <c r="BF15" s="76" t="str">
        <f t="shared" si="5"/>
        <v/>
      </c>
      <c r="BG15" s="65"/>
      <c r="BH15" s="65"/>
      <c r="BI15" s="65"/>
      <c r="BJ15" s="76" t="str">
        <f t="shared" si="6"/>
        <v/>
      </c>
      <c r="BK15" s="52">
        <f t="shared" si="7"/>
        <v>0</v>
      </c>
      <c r="BL15" s="75" t="str">
        <f t="shared" si="8"/>
        <v/>
      </c>
      <c r="BM15" s="73">
        <v>400</v>
      </c>
      <c r="BN15" s="54">
        <v>400</v>
      </c>
      <c r="BO15" s="54">
        <v>400</v>
      </c>
      <c r="BP15" s="54"/>
      <c r="BQ15" s="54"/>
      <c r="BR15" s="74"/>
      <c r="BS15" s="76" t="str">
        <f t="shared" si="9"/>
        <v/>
      </c>
      <c r="BT15" s="84" t="str">
        <f t="shared" si="10"/>
        <v/>
      </c>
      <c r="BU15" s="112" t="str">
        <f t="shared" si="11"/>
        <v/>
      </c>
      <c r="BV15" s="122" t="str">
        <f t="shared" si="12"/>
        <v/>
      </c>
      <c r="BW15" s="123" t="str">
        <f t="shared" si="13"/>
        <v/>
      </c>
      <c r="BX15" s="102" t="str">
        <f t="shared" si="14"/>
        <v/>
      </c>
      <c r="BY15" s="102" t="str">
        <f t="shared" si="15"/>
        <v/>
      </c>
      <c r="BZ15" s="117" t="str">
        <f t="shared" si="16"/>
        <v/>
      </c>
      <c r="CA15" s="112" t="str">
        <f t="shared" si="0"/>
        <v/>
      </c>
      <c r="CB15" s="108" t="str">
        <f t="shared" si="24"/>
        <v/>
      </c>
      <c r="CC15" s="82" t="str">
        <f t="shared" si="17"/>
        <v/>
      </c>
      <c r="CD15" s="82" t="str">
        <f t="shared" si="18"/>
        <v/>
      </c>
      <c r="CE15" s="109" t="str">
        <f t="shared" si="19"/>
        <v/>
      </c>
      <c r="CF15" s="104" t="str">
        <f t="shared" si="20"/>
        <v/>
      </c>
      <c r="CG15" s="83" t="str">
        <f t="shared" si="21"/>
        <v/>
      </c>
      <c r="CH15" s="83" t="str">
        <f t="shared" si="22"/>
        <v/>
      </c>
      <c r="CI15" s="105" t="str">
        <f t="shared" si="23"/>
        <v/>
      </c>
    </row>
    <row r="16" spans="1:87" s="52" customFormat="1" ht="23.1" customHeight="1" thickBot="1">
      <c r="A16" s="143" t="s">
        <v>106</v>
      </c>
      <c r="B16" s="96"/>
      <c r="C16" s="96"/>
      <c r="D16" s="96"/>
      <c r="E16" s="96"/>
      <c r="F16" s="96"/>
      <c r="G16" s="96"/>
      <c r="H16" s="96"/>
      <c r="I16" s="96"/>
      <c r="J16" s="96"/>
      <c r="K16" s="128"/>
      <c r="L16" s="179"/>
      <c r="M16" s="96"/>
      <c r="N16" s="131"/>
      <c r="O16" s="132"/>
      <c r="P16" s="96"/>
      <c r="Q16" s="96"/>
      <c r="R16" s="124" t="str">
        <f>IF(OR(G16&lt;=126,(OR(H16&lt;&gt;"",I16&lt;&gt;"",J16&lt;&gt;"")*AND(G16&gt;126))),IFERROR(IF(CARTELLINO!AJ42&gt;0,CARTELLINO!AJ42*2,""),"MANCANO DATI"),"MANCANO DATI")</f>
        <v/>
      </c>
      <c r="AG16" s="77" t="str">
        <f t="shared" si="1"/>
        <v/>
      </c>
      <c r="AH16" s="65"/>
      <c r="AI16" s="65"/>
      <c r="AJ16" s="65"/>
      <c r="AK16" s="65"/>
      <c r="AL16" s="65"/>
      <c r="AM16" s="65"/>
      <c r="AN16" s="88" t="str">
        <f t="shared" si="2"/>
        <v/>
      </c>
      <c r="AO16" s="65"/>
      <c r="AP16" s="65"/>
      <c r="AQ16" s="65"/>
      <c r="AR16" s="65"/>
      <c r="AS16" s="77" t="str">
        <f t="shared" si="3"/>
        <v/>
      </c>
      <c r="AT16" s="65"/>
      <c r="AU16" s="65"/>
      <c r="AV16" s="65"/>
      <c r="AW16" s="65"/>
      <c r="AX16" s="77" t="str">
        <f t="shared" si="25"/>
        <v/>
      </c>
      <c r="AY16" s="65"/>
      <c r="AZ16" s="65"/>
      <c r="BB16" s="75" t="str">
        <f t="shared" si="4"/>
        <v/>
      </c>
      <c r="BC16" s="65"/>
      <c r="BD16" s="65"/>
      <c r="BF16" s="77" t="str">
        <f t="shared" si="5"/>
        <v/>
      </c>
      <c r="BG16" s="65"/>
      <c r="BH16" s="65"/>
      <c r="BI16" s="65"/>
      <c r="BJ16" s="77" t="str">
        <f t="shared" si="6"/>
        <v/>
      </c>
      <c r="BK16" s="52">
        <f t="shared" si="7"/>
        <v>0</v>
      </c>
      <c r="BL16" s="75" t="str">
        <f t="shared" si="8"/>
        <v/>
      </c>
      <c r="BM16" s="73">
        <v>450</v>
      </c>
      <c r="BN16" s="54">
        <v>450</v>
      </c>
      <c r="BO16" s="54"/>
      <c r="BP16" s="54"/>
      <c r="BQ16" s="54"/>
      <c r="BR16" s="74"/>
      <c r="BS16" s="77" t="str">
        <f t="shared" si="9"/>
        <v/>
      </c>
      <c r="BT16" s="84" t="str">
        <f t="shared" si="10"/>
        <v/>
      </c>
      <c r="BU16" s="112" t="str">
        <f t="shared" si="11"/>
        <v/>
      </c>
      <c r="BV16" s="122" t="str">
        <f t="shared" si="12"/>
        <v/>
      </c>
      <c r="BW16" s="123" t="str">
        <f t="shared" si="13"/>
        <v/>
      </c>
      <c r="BX16" s="102" t="str">
        <f t="shared" si="14"/>
        <v/>
      </c>
      <c r="BY16" s="102" t="str">
        <f t="shared" si="15"/>
        <v/>
      </c>
      <c r="BZ16" s="117" t="str">
        <f t="shared" si="16"/>
        <v/>
      </c>
      <c r="CA16" s="113" t="str">
        <f t="shared" si="0"/>
        <v/>
      </c>
      <c r="CB16" s="108" t="str">
        <f t="shared" si="24"/>
        <v/>
      </c>
      <c r="CC16" s="82" t="str">
        <f t="shared" si="17"/>
        <v/>
      </c>
      <c r="CD16" s="82" t="str">
        <f t="shared" si="18"/>
        <v/>
      </c>
      <c r="CE16" s="109" t="str">
        <f t="shared" si="19"/>
        <v/>
      </c>
      <c r="CF16" s="104" t="str">
        <f t="shared" si="20"/>
        <v/>
      </c>
      <c r="CG16" s="83" t="str">
        <f t="shared" si="21"/>
        <v/>
      </c>
      <c r="CH16" s="83" t="str">
        <f t="shared" si="22"/>
        <v/>
      </c>
      <c r="CI16" s="105" t="str">
        <f t="shared" si="23"/>
        <v/>
      </c>
    </row>
    <row r="17" spans="1:87" s="52" customFormat="1" ht="23.1" customHeight="1" thickBot="1">
      <c r="A17" s="143" t="s">
        <v>112</v>
      </c>
      <c r="B17" s="96"/>
      <c r="C17" s="96"/>
      <c r="D17" s="96"/>
      <c r="E17" s="96"/>
      <c r="F17" s="96"/>
      <c r="G17" s="96"/>
      <c r="H17" s="96"/>
      <c r="I17" s="96"/>
      <c r="J17" s="96"/>
      <c r="K17" s="128"/>
      <c r="L17" s="179"/>
      <c r="M17" s="96"/>
      <c r="N17" s="131"/>
      <c r="O17" s="132"/>
      <c r="P17" s="96"/>
      <c r="Q17" s="96"/>
      <c r="R17" s="124" t="str">
        <f>IF(OR(G17&lt;=126,(OR(H17&lt;&gt;"",I17&lt;&gt;"",J17&lt;&gt;"")*AND(G17&gt;126))),IFERROR(IF(CARTELLINO!AJ44&gt;0,CARTELLINO!AJ44*2,""),"MANCANO DATI"),"MANCANO DATI")</f>
        <v/>
      </c>
      <c r="AG17" s="77" t="str">
        <f>IF(D17=78,"A",IF(D17=94,"B",IF(D17=126,"D","")))</f>
        <v/>
      </c>
      <c r="AH17" s="65"/>
      <c r="AI17" s="65"/>
      <c r="AJ17" s="65"/>
      <c r="AK17" s="65"/>
      <c r="AL17" s="65"/>
      <c r="AM17" s="65"/>
      <c r="AN17" s="88" t="str">
        <f>IF(F17=$AO$8,$AP$8,IF(F17=$AO$9,$AP$9,IF(F17=$AO$10,$AP$10,IF(F17=$AO$11,$AP$11,IF(F17=$AO$12,$AP$12,IF(F17=$AO$13,$AP$13,IF(F17=$AO$14,$AP$14,IF(F17=$AO$15,$AP$15,""))))))))</f>
        <v/>
      </c>
      <c r="AO17" s="65"/>
      <c r="AP17" s="65"/>
      <c r="AQ17" s="65"/>
      <c r="AR17" s="65"/>
      <c r="AS17" s="77" t="str">
        <f>IF(D17=78,"G",IF(D17=94,"H",IF(D17=126,"I","")))</f>
        <v/>
      </c>
      <c r="AT17" s="65"/>
      <c r="AU17" s="65"/>
      <c r="AV17" s="65"/>
      <c r="AW17" s="65"/>
      <c r="AX17" s="77" t="str">
        <f>IF(AND(I17="",J17=""),IF(G17=186,"L",IF(OR(G17=218,G17=250,G17=282),"M","")),"")</f>
        <v/>
      </c>
      <c r="AY17" s="65"/>
      <c r="AZ17" s="65"/>
      <c r="BB17" s="75" t="str">
        <f t="shared" si="4"/>
        <v/>
      </c>
      <c r="BC17" s="65"/>
      <c r="BD17" s="65"/>
      <c r="BF17" s="77" t="str">
        <f>IF(AND(H17="",I17="",F17&gt;=400),IF(G17-D17=$BG$6,"P",IF(G17-D17=$BH$6,"Q","")),"")</f>
        <v/>
      </c>
      <c r="BG17" s="65"/>
      <c r="BH17" s="65"/>
      <c r="BI17" s="65"/>
      <c r="BJ17" s="77" t="str">
        <f>IF(AND(G17&gt;=94,G17&lt;=218),"SI","")</f>
        <v/>
      </c>
      <c r="BK17" s="52">
        <f t="shared" si="7"/>
        <v>0</v>
      </c>
      <c r="BL17" s="75" t="str">
        <f t="shared" si="8"/>
        <v/>
      </c>
      <c r="BM17" s="73">
        <v>500</v>
      </c>
      <c r="BN17" s="54"/>
      <c r="BO17" s="54"/>
      <c r="BP17" s="54"/>
      <c r="BQ17" s="54"/>
      <c r="BR17" s="74"/>
      <c r="BS17" s="77" t="str">
        <f>IF(AND(L17="SU MISURA",F17=650),"_A1",IF(AND(L17="SU MISURA",F17=550),"_A2",IF(AND(L17="SU MISURA",F17=500),"_A3",IF(AND(L17="SU MISURA",F17=450),"_A4",IF(AND(L17="SU MISURA",F17=400),"_A5",IF(AND(L17="SU MISURA",F17=350),"_A6",""))))))</f>
        <v/>
      </c>
      <c r="BT17" s="84" t="str">
        <f>IF(M17&lt;&gt;"",D17,"")</f>
        <v/>
      </c>
      <c r="BU17" s="112" t="str">
        <f>IF(M17&lt;&gt;"",G17,"")</f>
        <v/>
      </c>
      <c r="BV17" s="122" t="str">
        <f t="shared" si="12"/>
        <v/>
      </c>
      <c r="BW17" s="123" t="str">
        <f t="shared" si="13"/>
        <v/>
      </c>
      <c r="BX17" s="102" t="str">
        <f t="shared" si="14"/>
        <v/>
      </c>
      <c r="BY17" s="102" t="str">
        <f t="shared" si="15"/>
        <v/>
      </c>
      <c r="BZ17" s="117" t="str">
        <f t="shared" si="16"/>
        <v/>
      </c>
      <c r="CA17" s="113" t="str">
        <f t="shared" si="0"/>
        <v/>
      </c>
      <c r="CB17" s="108" t="str">
        <f t="shared" si="24"/>
        <v/>
      </c>
      <c r="CC17" s="100" t="str">
        <f t="shared" si="17"/>
        <v/>
      </c>
      <c r="CD17" s="100" t="str">
        <f t="shared" si="18"/>
        <v/>
      </c>
      <c r="CE17" s="110" t="str">
        <f t="shared" si="19"/>
        <v/>
      </c>
      <c r="CF17" s="106" t="str">
        <f t="shared" si="20"/>
        <v/>
      </c>
      <c r="CG17" s="94" t="str">
        <f t="shared" si="21"/>
        <v/>
      </c>
      <c r="CH17" s="94" t="str">
        <f t="shared" si="22"/>
        <v/>
      </c>
      <c r="CI17" s="107" t="str">
        <f t="shared" si="23"/>
        <v/>
      </c>
    </row>
    <row r="18" spans="1:87" s="52" customFormat="1" ht="24.9" customHeight="1" thickBot="1">
      <c r="A18" s="197" t="s">
        <v>150</v>
      </c>
      <c r="B18" s="197"/>
      <c r="C18" s="198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K18" s="95">
        <f>SUM(BK7:BK17)</f>
        <v>0</v>
      </c>
      <c r="BL18" s="80"/>
      <c r="BM18" s="54"/>
      <c r="BN18" s="54"/>
      <c r="BO18" s="82"/>
      <c r="BP18" s="83"/>
      <c r="BQ18" s="83"/>
      <c r="BR18" s="83"/>
      <c r="BW18" s="95">
        <f>COUNTBLANK(P7:P17)</f>
        <v>11</v>
      </c>
      <c r="BX18" s="95">
        <f>SUM(BX7:BX17)</f>
        <v>0</v>
      </c>
      <c r="BY18" s="95">
        <f>SUM(BY7:BY17)</f>
        <v>0</v>
      </c>
      <c r="BZ18" s="95">
        <f>SUM(BZ7:BZ17)</f>
        <v>0</v>
      </c>
      <c r="CA18" s="114">
        <f>COUNTBLANK(Q7:Q17)</f>
        <v>11</v>
      </c>
      <c r="CB18" s="118"/>
      <c r="CC18" s="95">
        <f t="shared" ref="CC18:CI18" si="26">SUM(CC7:CC17)</f>
        <v>0</v>
      </c>
      <c r="CD18" s="95">
        <f t="shared" si="26"/>
        <v>0</v>
      </c>
      <c r="CE18" s="95">
        <f t="shared" si="26"/>
        <v>0</v>
      </c>
      <c r="CF18" s="95">
        <f t="shared" si="26"/>
        <v>0</v>
      </c>
      <c r="CG18" s="95">
        <f t="shared" si="26"/>
        <v>0</v>
      </c>
      <c r="CH18" s="95">
        <f t="shared" si="26"/>
        <v>0</v>
      </c>
      <c r="CI18" s="95">
        <f t="shared" si="26"/>
        <v>0</v>
      </c>
    </row>
    <row r="19" spans="1:87" s="52" customFormat="1" ht="20.100000000000001" customHeight="1">
      <c r="A19" s="180"/>
      <c r="B19" s="196" t="str">
        <f>IF(OR(CC18&lt;&gt;0,CD18&lt;&gt;0,CE18&lt;&gt;0),"SOTTOLAVELLO IN PLASTICA A U ","")</f>
        <v/>
      </c>
      <c r="C19" s="196"/>
      <c r="D19" s="196"/>
      <c r="E19" s="196"/>
      <c r="F19" s="196"/>
      <c r="G19" s="196"/>
      <c r="H19" s="196"/>
      <c r="I19" s="196" t="str">
        <f>IF(OR(CF18&lt;&gt;0,CG18&lt;&gt;0,CH18&lt;&gt;0,CI18&lt;&gt;0),"SOTTOLAVELLO STANDARD IN ALLUMINIO","")</f>
        <v/>
      </c>
      <c r="J19" s="196"/>
      <c r="K19" s="196"/>
      <c r="L19" s="196"/>
      <c r="M19" s="196"/>
      <c r="N19" s="196"/>
      <c r="O19" s="196"/>
      <c r="P19" s="196"/>
      <c r="Q19" s="196"/>
      <c r="R19" s="196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L19" s="80"/>
      <c r="BM19" s="65"/>
      <c r="BN19" s="65"/>
      <c r="BO19" s="56"/>
    </row>
    <row r="20" spans="1:87" s="52" customFormat="1" ht="15" customHeight="1">
      <c r="A20" s="180"/>
      <c r="B20" s="195" t="str">
        <f>IF(CC18&lt;&gt;0,"N° "&amp;CC18&amp;" EMSLGRA","")</f>
        <v/>
      </c>
      <c r="C20" s="195"/>
      <c r="D20" s="196" t="str">
        <f>IF(CD18&lt;&gt;0,"N° "&amp;CD18&amp;" EMSLGRI","")</f>
        <v/>
      </c>
      <c r="E20" s="196"/>
      <c r="F20" s="196" t="str">
        <f>IF(CE18&lt;&gt;0,"N° "&amp;CE18&amp;" EMSLBI","")</f>
        <v/>
      </c>
      <c r="G20" s="196"/>
      <c r="H20" s="196"/>
      <c r="I20" s="229" t="str">
        <f>IF(CF18&lt;&gt;0,"N° "&amp;CF18&amp;" KITVASCA","")</f>
        <v/>
      </c>
      <c r="J20" s="229"/>
      <c r="K20" s="229"/>
      <c r="L20" s="229" t="str">
        <f>IF(CG18&lt;&gt;0,"N° "&amp;CG18&amp;" KITVASCAB","")</f>
        <v/>
      </c>
      <c r="M20" s="229"/>
      <c r="N20" s="229" t="str">
        <f>IF(CH18&lt;&gt;0,"N° "&amp;CH18&amp;" KITVASCA120","")</f>
        <v/>
      </c>
      <c r="O20" s="229"/>
      <c r="P20" s="229"/>
      <c r="Q20" s="229" t="str">
        <f>IF(CI18&lt;&gt;0,"N° "&amp;CI18&amp;" KITVASCA120B","")</f>
        <v/>
      </c>
      <c r="R20" s="229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L20" s="80"/>
      <c r="BM20" s="80"/>
      <c r="BN20" s="80"/>
    </row>
    <row r="21" spans="1:87" s="52" customFormat="1" ht="20.100000000000001" customHeight="1">
      <c r="A21" s="180"/>
      <c r="B21" s="196" t="str">
        <f>IF(BW18&lt;&gt;11,"PUSH TO OPEN NECESSARI","")</f>
        <v/>
      </c>
      <c r="C21" s="196"/>
      <c r="D21" s="196"/>
      <c r="E21" s="196"/>
      <c r="F21" s="196"/>
      <c r="G21" s="196"/>
      <c r="H21" s="119"/>
      <c r="I21" s="101"/>
      <c r="J21" s="101"/>
      <c r="K21" s="101"/>
      <c r="L21" s="101"/>
      <c r="M21" s="101"/>
      <c r="N21" s="101"/>
      <c r="O21" s="101"/>
      <c r="P21" s="101"/>
      <c r="Q21" s="101"/>
      <c r="R21" s="9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L21" s="53"/>
      <c r="BM21" s="53"/>
      <c r="BN21" s="53"/>
    </row>
    <row r="22" spans="1:87" s="52" customFormat="1" ht="15" customHeight="1">
      <c r="A22" s="180"/>
      <c r="B22" s="196" t="str">
        <f>IF(COUNTIFS(BW7:BW17,"HPTO20")&gt;0,"N° "&amp;BX18&amp;" HPTO20","")</f>
        <v/>
      </c>
      <c r="C22" s="196"/>
      <c r="D22" s="196" t="str">
        <f>IF(COUNTIFS(BW7:BW17,"HPTO40")&gt;0,"N° "&amp;BY18&amp;" HPTO40","")</f>
        <v/>
      </c>
      <c r="E22" s="196"/>
      <c r="F22" s="196" t="str">
        <f>IF(COUNTIFS(BW7:BW17,"HPTO70")&gt;0,"N° "&amp;BZ18&amp;" HPTO70","")</f>
        <v/>
      </c>
      <c r="G22" s="196"/>
      <c r="H22" s="93" t="str">
        <f>IF($CA$18&lt;&gt;11,"N°","")</f>
        <v/>
      </c>
      <c r="I22" s="120"/>
      <c r="J22" s="195" t="str">
        <f>IF($CA$18&lt;&gt;11,"HPTOASTA (L 2000mm)","")</f>
        <v/>
      </c>
      <c r="K22" s="195"/>
      <c r="L22" s="195"/>
      <c r="M22" s="195"/>
      <c r="N22" s="209" t="s">
        <v>164</v>
      </c>
      <c r="O22" s="209"/>
      <c r="P22" s="209"/>
      <c r="Q22" s="209"/>
      <c r="R22" s="210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L22" s="80"/>
      <c r="BM22" s="80"/>
      <c r="BN22" s="80"/>
    </row>
    <row r="23" spans="1:87" ht="18">
      <c r="S23" s="52"/>
      <c r="T23" s="52"/>
      <c r="U23" s="52"/>
      <c r="V23" s="52"/>
    </row>
    <row r="24" spans="1:87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</row>
  </sheetData>
  <sheetProtection algorithmName="SHA-512" hashValue="n7XpLybfA9+uYi/ziBZiYcIFF1OTUBJEX048InKILO84gc1WTFlmHZHy6FCZm3zkqd8RaWHeD5siYSzJdKpfOQ==" saltValue="lfMdb9j1ZyJwKG0CoCe//g==" spinCount="100000" sheet="1" objects="1" scenarios="1" selectLockedCells="1"/>
  <mergeCells count="74">
    <mergeCell ref="F1:Q1"/>
    <mergeCell ref="R1:R2"/>
    <mergeCell ref="CF4:CI4"/>
    <mergeCell ref="I19:R19"/>
    <mergeCell ref="I20:K20"/>
    <mergeCell ref="L20:M20"/>
    <mergeCell ref="Q20:R20"/>
    <mergeCell ref="N20:P20"/>
    <mergeCell ref="CE5:CE6"/>
    <mergeCell ref="R5:R6"/>
    <mergeCell ref="AL12:AM12"/>
    <mergeCell ref="AL9:AM9"/>
    <mergeCell ref="CI5:CI6"/>
    <mergeCell ref="O4:R4"/>
    <mergeCell ref="AN4:AR4"/>
    <mergeCell ref="CF5:CF6"/>
    <mergeCell ref="CA5:CA6"/>
    <mergeCell ref="BS6:BU6"/>
    <mergeCell ref="Q5:Q6"/>
    <mergeCell ref="CG5:CG6"/>
    <mergeCell ref="CH5:CH6"/>
    <mergeCell ref="CC5:CC6"/>
    <mergeCell ref="CD5:CD6"/>
    <mergeCell ref="CB5:CB6"/>
    <mergeCell ref="BV6:BW6"/>
    <mergeCell ref="D22:E22"/>
    <mergeCell ref="F22:G22"/>
    <mergeCell ref="B22:C22"/>
    <mergeCell ref="P5:P6"/>
    <mergeCell ref="AL8:AM8"/>
    <mergeCell ref="AL13:AM13"/>
    <mergeCell ref="AL14:AM14"/>
    <mergeCell ref="AL15:AM15"/>
    <mergeCell ref="J22:M22"/>
    <mergeCell ref="O5:O6"/>
    <mergeCell ref="N22:R22"/>
    <mergeCell ref="B21:G21"/>
    <mergeCell ref="E5:E6"/>
    <mergeCell ref="H5:H6"/>
    <mergeCell ref="D20:E20"/>
    <mergeCell ref="F5:F6"/>
    <mergeCell ref="AX3:AZ3"/>
    <mergeCell ref="AS5:AV5"/>
    <mergeCell ref="L3:N3"/>
    <mergeCell ref="J5:J6"/>
    <mergeCell ref="K5:K6"/>
    <mergeCell ref="L4:N4"/>
    <mergeCell ref="L5:N5"/>
    <mergeCell ref="AL11:AM11"/>
    <mergeCell ref="AL10:AM10"/>
    <mergeCell ref="C5:C6"/>
    <mergeCell ref="B20:C20"/>
    <mergeCell ref="F20:H20"/>
    <mergeCell ref="B19:H19"/>
    <mergeCell ref="A18:B18"/>
    <mergeCell ref="C18:R18"/>
    <mergeCell ref="A19:A20"/>
    <mergeCell ref="G5:G6"/>
    <mergeCell ref="A21:A22"/>
    <mergeCell ref="BM3:BO3"/>
    <mergeCell ref="A2:C2"/>
    <mergeCell ref="B5:B6"/>
    <mergeCell ref="D2:E2"/>
    <mergeCell ref="A3:A4"/>
    <mergeCell ref="I5:I6"/>
    <mergeCell ref="D5:D6"/>
    <mergeCell ref="F2:Q2"/>
    <mergeCell ref="BF3:BH3"/>
    <mergeCell ref="BB3:BD3"/>
    <mergeCell ref="D3:K3"/>
    <mergeCell ref="D4:K4"/>
    <mergeCell ref="O3:R3"/>
    <mergeCell ref="B4:C4"/>
    <mergeCell ref="B3:C3"/>
  </mergeCells>
  <phoneticPr fontId="32" type="noConversion"/>
  <conditionalFormatting sqref="B7">
    <cfRule type="expression" dxfId="90" priority="33" stopIfTrue="1">
      <formula>A7&lt;&gt;""</formula>
    </cfRule>
  </conditionalFormatting>
  <conditionalFormatting sqref="B8:B17">
    <cfRule type="expression" dxfId="89" priority="2" stopIfTrue="1">
      <formula>R7=""</formula>
    </cfRule>
    <cfRule type="expression" dxfId="88" priority="4" stopIfTrue="1">
      <formula>R7&lt;&gt;"MANCANO DATI"</formula>
    </cfRule>
  </conditionalFormatting>
  <conditionalFormatting sqref="B20:C20">
    <cfRule type="expression" dxfId="87" priority="515" stopIfTrue="1">
      <formula>$B$19&lt;&gt;""</formula>
    </cfRule>
  </conditionalFormatting>
  <conditionalFormatting sqref="B22:C22">
    <cfRule type="expression" dxfId="86" priority="511" stopIfTrue="1">
      <formula>$B$21&lt;&gt;""</formula>
    </cfRule>
  </conditionalFormatting>
  <conditionalFormatting sqref="B7:G17">
    <cfRule type="expression" dxfId="85" priority="3" stopIfTrue="1">
      <formula>B7&lt;&gt;""</formula>
    </cfRule>
  </conditionalFormatting>
  <conditionalFormatting sqref="B21:G21">
    <cfRule type="expression" dxfId="84" priority="512" stopIfTrue="1">
      <formula>$B$21&lt;&gt;""</formula>
    </cfRule>
  </conditionalFormatting>
  <conditionalFormatting sqref="B19:H19">
    <cfRule type="expression" dxfId="83" priority="516" stopIfTrue="1">
      <formula>$B$19&lt;&gt;""</formula>
    </cfRule>
  </conditionalFormatting>
  <conditionalFormatting sqref="C7:G17">
    <cfRule type="expression" dxfId="82" priority="492" stopIfTrue="1">
      <formula>B7&lt;&gt;""</formula>
    </cfRule>
  </conditionalFormatting>
  <conditionalFormatting sqref="D2:E2">
    <cfRule type="expression" dxfId="81" priority="1" stopIfTrue="1">
      <formula>$D$2="CLICCA QUI"</formula>
    </cfRule>
  </conditionalFormatting>
  <conditionalFormatting sqref="D20:E20">
    <cfRule type="expression" dxfId="80" priority="513" stopIfTrue="1">
      <formula>$B$19&lt;&gt;""</formula>
    </cfRule>
  </conditionalFormatting>
  <conditionalFormatting sqref="D22:E22">
    <cfRule type="expression" dxfId="79" priority="510" stopIfTrue="1">
      <formula>$B$21&lt;&gt;""</formula>
    </cfRule>
  </conditionalFormatting>
  <conditionalFormatting sqref="F2">
    <cfRule type="expression" dxfId="78" priority="35" stopIfTrue="1">
      <formula>$F$2&lt;&gt;""</formula>
    </cfRule>
  </conditionalFormatting>
  <conditionalFormatting sqref="F22:G22">
    <cfRule type="expression" dxfId="77" priority="509" stopIfTrue="1">
      <formula>$B$21&lt;&gt;""</formula>
    </cfRule>
  </conditionalFormatting>
  <conditionalFormatting sqref="F20:H20">
    <cfRule type="expression" dxfId="76" priority="514" stopIfTrue="1">
      <formula>$B$19&lt;&gt;""</formula>
    </cfRule>
  </conditionalFormatting>
  <conditionalFormatting sqref="H7:H16">
    <cfRule type="expression" dxfId="75" priority="159" stopIfTrue="1">
      <formula>AX7&lt;&gt;""</formula>
    </cfRule>
  </conditionalFormatting>
  <conditionalFormatting sqref="H7:H17">
    <cfRule type="expression" dxfId="74" priority="127" stopIfTrue="1">
      <formula>J7&lt;&gt;""</formula>
    </cfRule>
  </conditionalFormatting>
  <conditionalFormatting sqref="H17">
    <cfRule type="expression" dxfId="73" priority="129" stopIfTrue="1">
      <formula>H17&lt;&gt;""</formula>
    </cfRule>
    <cfRule type="expression" dxfId="72" priority="130" stopIfTrue="1">
      <formula>AX17&lt;&gt;""</formula>
    </cfRule>
    <cfRule type="expression" dxfId="71" priority="128" stopIfTrue="1">
      <formula>I17&lt;&gt;""</formula>
    </cfRule>
  </conditionalFormatting>
  <conditionalFormatting sqref="H22">
    <cfRule type="expression" dxfId="70" priority="34" stopIfTrue="1">
      <formula>$H$22&lt;&gt;""</formula>
    </cfRule>
  </conditionalFormatting>
  <conditionalFormatting sqref="H7:I16">
    <cfRule type="expression" dxfId="69" priority="154" stopIfTrue="1">
      <formula>H7&lt;&gt;""</formula>
    </cfRule>
    <cfRule type="expression" dxfId="68" priority="153" stopIfTrue="1">
      <formula>I7&lt;&gt;""</formula>
    </cfRule>
  </conditionalFormatting>
  <conditionalFormatting sqref="I7:I16">
    <cfRule type="expression" dxfId="67" priority="155" stopIfTrue="1">
      <formula>BB7&lt;&gt;""</formula>
    </cfRule>
  </conditionalFormatting>
  <conditionalFormatting sqref="I17">
    <cfRule type="expression" dxfId="66" priority="125" stopIfTrue="1">
      <formula>I17&lt;&gt;""</formula>
    </cfRule>
    <cfRule type="expression" dxfId="65" priority="124" stopIfTrue="1">
      <formula>J17&lt;&gt;""</formula>
    </cfRule>
    <cfRule type="expression" dxfId="64" priority="126" stopIfTrue="1">
      <formula>BB17&lt;&gt;""</formula>
    </cfRule>
  </conditionalFormatting>
  <conditionalFormatting sqref="I22">
    <cfRule type="expression" dxfId="63" priority="911" stopIfTrue="1">
      <formula>$CA$18&lt;&gt;11</formula>
    </cfRule>
    <cfRule type="expression" dxfId="62" priority="903" stopIfTrue="1">
      <formula>$I$22&lt;&gt;""</formula>
    </cfRule>
    <cfRule type="expression" dxfId="61" priority="910" stopIfTrue="1">
      <formula>$H$22&lt;&gt;""</formula>
    </cfRule>
  </conditionalFormatting>
  <conditionalFormatting sqref="I7:J17">
    <cfRule type="expression" dxfId="60" priority="120" stopIfTrue="1">
      <formula>H7&lt;&gt;""</formula>
    </cfRule>
  </conditionalFormatting>
  <conditionalFormatting sqref="I20:K20">
    <cfRule type="expression" dxfId="59" priority="520" stopIfTrue="1">
      <formula>$I$19&lt;&gt;""</formula>
    </cfRule>
  </conditionalFormatting>
  <conditionalFormatting sqref="I19:R19">
    <cfRule type="expression" dxfId="58" priority="521" stopIfTrue="1">
      <formula>$I$19&lt;&gt;""</formula>
    </cfRule>
  </conditionalFormatting>
  <conditionalFormatting sqref="J7:J17">
    <cfRule type="expression" dxfId="57" priority="122" stopIfTrue="1">
      <formula>BF7&lt;&gt;""</formula>
    </cfRule>
    <cfRule type="expression" dxfId="56" priority="121" stopIfTrue="1">
      <formula>H7&lt;&gt;""</formula>
    </cfRule>
    <cfRule type="expression" dxfId="55" priority="119" stopIfTrue="1">
      <formula>J7&lt;&gt;""</formula>
    </cfRule>
  </conditionalFormatting>
  <conditionalFormatting sqref="J22">
    <cfRule type="expression" dxfId="54" priority="909" stopIfTrue="1">
      <formula>$J$22&lt;&gt;""</formula>
    </cfRule>
  </conditionalFormatting>
  <conditionalFormatting sqref="L20:P20">
    <cfRule type="expression" dxfId="53" priority="519" stopIfTrue="1">
      <formula>$I$19&lt;&gt;""</formula>
    </cfRule>
  </conditionalFormatting>
  <conditionalFormatting sqref="M7:M17">
    <cfRule type="expression" dxfId="52" priority="144" stopIfTrue="1">
      <formula>L7="SU MISURA"</formula>
    </cfRule>
  </conditionalFormatting>
  <conditionalFormatting sqref="M7:N17">
    <cfRule type="expression" dxfId="51" priority="141" stopIfTrue="1">
      <formula>M7&lt;&gt;""</formula>
    </cfRule>
  </conditionalFormatting>
  <conditionalFormatting sqref="N7:N17">
    <cfRule type="expression" dxfId="50" priority="142" stopIfTrue="1">
      <formula>M7&lt;&gt;""</formula>
    </cfRule>
  </conditionalFormatting>
  <conditionalFormatting sqref="O7:O17">
    <cfRule type="expression" dxfId="49" priority="41" stopIfTrue="1">
      <formula>G7&lt;127</formula>
    </cfRule>
    <cfRule type="expression" dxfId="48" priority="40" stopIfTrue="1">
      <formula>H7&lt;&gt;""</formula>
    </cfRule>
    <cfRule type="expression" dxfId="47" priority="39" stopIfTrue="1">
      <formula>I7&lt;&gt;""</formula>
    </cfRule>
    <cfRule type="expression" dxfId="46" priority="38" stopIfTrue="1">
      <formula>J7&lt;&gt;""</formula>
    </cfRule>
    <cfRule type="expression" dxfId="45" priority="37" stopIfTrue="1">
      <formula>O7&lt;&gt;""</formula>
    </cfRule>
    <cfRule type="expression" dxfId="44" priority="36" stopIfTrue="1">
      <formula>G7=""</formula>
    </cfRule>
  </conditionalFormatting>
  <conditionalFormatting sqref="Q20:R20">
    <cfRule type="expression" dxfId="43" priority="517" stopIfTrue="1">
      <formula>$I$19&lt;&gt;""</formula>
    </cfRule>
  </conditionalFormatting>
  <conditionalFormatting sqref="R7:R17">
    <cfRule type="expression" dxfId="42" priority="449" stopIfTrue="1">
      <formula>R7="MANCANO DATI"</formula>
    </cfRule>
  </conditionalFormatting>
  <dataValidations count="12">
    <dataValidation type="list" allowBlank="1" showInputMessage="1" showErrorMessage="1" sqref="C7:C17" xr:uid="{00000000-0002-0000-0000-000000000000}">
      <formula1>IF(B7&lt;&gt;"",$AJ$3:$AJ$5,"")</formula1>
    </dataValidation>
    <dataValidation type="list" allowBlank="1" showInputMessage="1" showErrorMessage="1" sqref="D7:D17" xr:uid="{00000000-0002-0000-0000-000001000000}">
      <formula1>INDIRECT(C7)</formula1>
    </dataValidation>
    <dataValidation type="list" allowBlank="1" showInputMessage="1" showErrorMessage="1" sqref="F7:F17" xr:uid="{00000000-0002-0000-0000-000002000000}">
      <formula1>INDIRECT(AG7)</formula1>
    </dataValidation>
    <dataValidation type="list" allowBlank="1" showInputMessage="1" showErrorMessage="1" sqref="G7:G17" xr:uid="{00000000-0002-0000-0000-000003000000}">
      <formula1>INDIRECT(AS7)</formula1>
    </dataValidation>
    <dataValidation type="list" allowBlank="1" showInputMessage="1" showErrorMessage="1" sqref="H7:H17" xr:uid="{00000000-0002-0000-0000-000004000000}">
      <formula1>INDIRECT(AX7)</formula1>
    </dataValidation>
    <dataValidation type="list" allowBlank="1" showInputMessage="1" showErrorMessage="1" sqref="I7:I17" xr:uid="{00000000-0002-0000-0000-000005000000}">
      <formula1>INDIRECT(BB7)</formula1>
    </dataValidation>
    <dataValidation type="list" allowBlank="1" showInputMessage="1" showErrorMessage="1" sqref="J7:J17" xr:uid="{00000000-0002-0000-0000-000006000000}">
      <formula1>INDIRECT(BF7)</formula1>
    </dataValidation>
    <dataValidation type="list" allowBlank="1" showInputMessage="1" showErrorMessage="1" sqref="L7:L17" xr:uid="{00000000-0002-0000-0000-000007000000}">
      <formula1>INDIRECT(BL7)</formula1>
    </dataValidation>
    <dataValidation type="list" allowBlank="1" showInputMessage="1" showErrorMessage="1" sqref="O7:O17" xr:uid="{00000000-0002-0000-0000-000009000000}">
      <formula1>INDIRECT(AN7)</formula1>
    </dataValidation>
    <dataValidation type="list" allowBlank="1" showInputMessage="1" showErrorMessage="1" sqref="K7:K17" xr:uid="{00000000-0002-0000-0000-00000B000000}">
      <formula1>BJ7</formula1>
    </dataValidation>
    <dataValidation type="list" allowBlank="1" showInputMessage="1" showErrorMessage="1" sqref="Q7:Q17" xr:uid="{00000000-0002-0000-0000-00000C000000}">
      <formula1>CA7</formula1>
    </dataValidation>
    <dataValidation type="list" allowBlank="1" showInputMessage="1" showErrorMessage="1" sqref="P7:P17" xr:uid="{00000000-0002-0000-0000-00000D000000}">
      <formula1>$BV7</formula1>
    </dataValidation>
  </dataValidations>
  <pageMargins left="0.39370078740157483" right="0.23622047244094491" top="0.39370078740157483" bottom="0.74803149606299213" header="0.31496062992125984" footer="0.31496062992125984"/>
  <pageSetup paperSize="9" scale="9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E000000}">
          <x14:formula1>
            <xm:f>CARTELLINO!$Z$101:$Z$105</xm:f>
          </x14:formula1>
          <xm:sqref>D2:E2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1">
    <pageSetUpPr fitToPage="1"/>
  </sheetPr>
  <dimension ref="A1:BJ150"/>
  <sheetViews>
    <sheetView showGridLines="0" showRowColHeaders="0" showZeros="0" view="pageBreakPreview" topLeftCell="E190" zoomScaleNormal="100" zoomScaleSheetLayoutView="100" workbookViewId="0">
      <selection activeCell="AL24" sqref="AL24:AL25"/>
    </sheetView>
  </sheetViews>
  <sheetFormatPr defaultRowHeight="14.4"/>
  <cols>
    <col min="1" max="13" width="6.6640625" style="1" customWidth="1"/>
    <col min="14" max="14" width="9.109375" style="1" customWidth="1"/>
    <col min="15" max="15" width="5" customWidth="1"/>
    <col min="16" max="16" width="5.44140625" customWidth="1"/>
    <col min="17" max="17" width="5.6640625" customWidth="1"/>
    <col min="18" max="18" width="3.6640625" customWidth="1"/>
    <col min="19" max="19" width="4.6640625" customWidth="1"/>
    <col min="20" max="20" width="11.44140625" customWidth="1"/>
    <col min="21" max="21" width="5.6640625" customWidth="1"/>
    <col min="22" max="22" width="7.6640625" customWidth="1"/>
    <col min="23" max="24" width="5.6640625" customWidth="1"/>
    <col min="25" max="25" width="4.33203125" customWidth="1"/>
    <col min="26" max="27" width="5.6640625" customWidth="1"/>
    <col min="28" max="28" width="7.33203125" customWidth="1"/>
    <col min="29" max="29" width="9.6640625" customWidth="1"/>
    <col min="30" max="31" width="5.6640625" customWidth="1"/>
    <col min="32" max="32" width="8.5546875" customWidth="1"/>
    <col min="33" max="33" width="4.6640625" customWidth="1"/>
    <col min="34" max="34" width="7.6640625" customWidth="1"/>
    <col min="35" max="35" width="14.6640625" customWidth="1"/>
    <col min="36" max="36" width="6.33203125" hidden="1" customWidth="1"/>
    <col min="37" max="37" width="10.6640625" customWidth="1"/>
    <col min="38" max="38" width="11.33203125" customWidth="1"/>
    <col min="39" max="39" width="12.109375" customWidth="1"/>
    <col min="40" max="40" width="6.6640625" customWidth="1"/>
    <col min="41" max="41" width="6.5546875" customWidth="1"/>
    <col min="42" max="42" width="8.109375" customWidth="1"/>
    <col min="43" max="48" width="6.5546875" customWidth="1"/>
    <col min="49" max="50" width="7.109375" customWidth="1"/>
    <col min="51" max="51" width="8.44140625" customWidth="1"/>
    <col min="52" max="52" width="8.109375" customWidth="1"/>
    <col min="53" max="53" width="7.88671875" customWidth="1"/>
    <col min="54" max="54" width="7.109375" customWidth="1"/>
    <col min="55" max="56" width="11.109375" customWidth="1"/>
    <col min="57" max="58" width="7.109375" customWidth="1"/>
  </cols>
  <sheetData>
    <row r="1" spans="1:62" ht="12.9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33" t="s">
        <v>91</v>
      </c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34"/>
      <c r="AN1" s="35" t="s">
        <v>64</v>
      </c>
      <c r="AO1" s="36"/>
      <c r="AP1" s="36"/>
      <c r="AQ1" s="36"/>
      <c r="AR1" s="36"/>
      <c r="AS1" s="36"/>
      <c r="AT1" s="36"/>
      <c r="AU1" s="36"/>
      <c r="AV1" s="36"/>
      <c r="AW1" s="36"/>
      <c r="AX1" s="37"/>
      <c r="AY1" s="379" t="b">
        <f>IF(AND($AF1="X",$V1&gt;859,$V1&lt;865),$L$53,IF(AND($AF1="X",$V1&gt;1159,$V1&lt;1165),$L$54))</f>
        <v>0</v>
      </c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</row>
    <row r="2" spans="1:62" ht="12.9" customHeight="1">
      <c r="A2" s="355" t="s">
        <v>14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27"/>
      <c r="AN2" s="28"/>
      <c r="AO2" s="6"/>
      <c r="AP2" s="6"/>
      <c r="AQ2" s="6"/>
      <c r="AR2" s="6"/>
      <c r="AS2" s="6"/>
      <c r="AT2" s="6"/>
      <c r="AU2" s="6"/>
      <c r="AV2" s="6"/>
      <c r="AW2" s="6"/>
      <c r="AX2" s="23"/>
      <c r="AY2" s="379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</row>
    <row r="3" spans="1:62" ht="12.9" customHeight="1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27"/>
      <c r="AN3" s="28" t="s">
        <v>65</v>
      </c>
      <c r="AO3" s="6"/>
      <c r="AP3" s="6"/>
      <c r="AQ3" s="6"/>
      <c r="AR3" s="6"/>
      <c r="AS3" s="6"/>
      <c r="AT3" s="6"/>
      <c r="AU3" s="6"/>
      <c r="AV3" s="6"/>
      <c r="AW3" s="6"/>
      <c r="AX3" s="23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2" ht="12.9" customHeight="1">
      <c r="A4" s="263" t="s">
        <v>15</v>
      </c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5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27"/>
      <c r="AN4" s="28"/>
      <c r="AO4" s="6"/>
      <c r="AP4" s="6"/>
      <c r="AQ4" s="6"/>
      <c r="AR4" s="6"/>
      <c r="AS4" s="6"/>
      <c r="AT4" s="6"/>
      <c r="AU4" s="6"/>
      <c r="AV4" s="6"/>
      <c r="AW4" s="6"/>
      <c r="AX4" s="23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</row>
    <row r="5" spans="1:62" ht="12.9" customHeight="1">
      <c r="A5" s="314" t="s">
        <v>0</v>
      </c>
      <c r="B5" s="315"/>
      <c r="C5" s="315"/>
      <c r="D5" s="316"/>
      <c r="E5" s="292" t="s">
        <v>25</v>
      </c>
      <c r="F5" s="303"/>
      <c r="G5" s="303"/>
      <c r="H5" s="303"/>
      <c r="I5" s="303"/>
      <c r="J5" s="293"/>
      <c r="K5" s="292" t="s">
        <v>26</v>
      </c>
      <c r="L5" s="303"/>
      <c r="M5" s="303"/>
      <c r="N5" s="293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27"/>
      <c r="AN5" s="28" t="s">
        <v>66</v>
      </c>
      <c r="AO5" s="6"/>
      <c r="AP5" s="6"/>
      <c r="AQ5" s="6"/>
      <c r="AR5" s="6"/>
      <c r="AS5" s="6"/>
      <c r="AT5" s="6"/>
      <c r="AU5" s="6"/>
      <c r="AV5" s="6"/>
      <c r="AW5" s="6"/>
      <c r="AX5" s="23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2" ht="12.9" customHeight="1">
      <c r="A6" s="348" t="s">
        <v>1</v>
      </c>
      <c r="B6" s="349"/>
      <c r="C6" s="349"/>
      <c r="D6" s="350"/>
      <c r="E6" s="292">
        <v>78</v>
      </c>
      <c r="F6" s="293"/>
      <c r="G6" s="292">
        <v>94</v>
      </c>
      <c r="H6" s="293"/>
      <c r="I6" s="288">
        <v>126</v>
      </c>
      <c r="J6" s="290"/>
      <c r="K6" s="288">
        <v>94</v>
      </c>
      <c r="L6" s="290"/>
      <c r="M6" s="288">
        <v>126</v>
      </c>
      <c r="N6" s="290"/>
      <c r="O6" s="6"/>
      <c r="P6" s="352"/>
      <c r="Q6" s="352"/>
      <c r="R6" s="91"/>
      <c r="S6" s="352"/>
      <c r="T6" s="352"/>
      <c r="U6" s="354"/>
      <c r="V6" s="354"/>
      <c r="W6" s="354"/>
      <c r="X6" s="354"/>
      <c r="Y6" s="354"/>
      <c r="Z6" s="354"/>
      <c r="AA6" s="6"/>
      <c r="AB6" s="6"/>
      <c r="AC6" s="6" t="s">
        <v>24</v>
      </c>
      <c r="AD6" s="6"/>
      <c r="AE6" s="6"/>
      <c r="AF6" s="6"/>
      <c r="AG6" s="6"/>
      <c r="AH6" s="6"/>
      <c r="AI6" s="6"/>
      <c r="AJ6" s="6"/>
      <c r="AK6" s="6"/>
      <c r="AL6" s="6"/>
      <c r="AM6" s="27"/>
      <c r="AN6" s="28"/>
      <c r="AO6" s="6"/>
      <c r="AP6" s="6"/>
      <c r="AQ6" s="6"/>
      <c r="AR6" s="6"/>
      <c r="AS6" s="6"/>
      <c r="AT6" s="6"/>
      <c r="AU6" s="6"/>
      <c r="AV6" s="6"/>
      <c r="AW6" s="6"/>
      <c r="AX6" s="23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</row>
    <row r="7" spans="1:62" ht="12.9" customHeight="1">
      <c r="A7" s="292">
        <v>270</v>
      </c>
      <c r="B7" s="303"/>
      <c r="C7" s="303"/>
      <c r="D7" s="293"/>
      <c r="E7" s="283" t="s">
        <v>2</v>
      </c>
      <c r="F7" s="284"/>
      <c r="G7" s="283">
        <v>10.164</v>
      </c>
      <c r="H7" s="284"/>
      <c r="I7" s="283">
        <v>14.175000000000001</v>
      </c>
      <c r="J7" s="284"/>
      <c r="K7" s="283">
        <v>32.581500000000005</v>
      </c>
      <c r="L7" s="284"/>
      <c r="M7" s="283" t="s">
        <v>2</v>
      </c>
      <c r="N7" s="284"/>
      <c r="O7" s="6"/>
      <c r="P7" s="353"/>
      <c r="Q7" s="353"/>
      <c r="R7" s="92"/>
      <c r="S7" s="353"/>
      <c r="T7" s="353"/>
      <c r="U7" s="353"/>
      <c r="V7" s="353"/>
      <c r="W7" s="353"/>
      <c r="X7" s="353"/>
      <c r="Y7" s="353"/>
      <c r="Z7" s="353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27"/>
      <c r="AN7" s="28" t="s">
        <v>67</v>
      </c>
      <c r="AO7" s="6"/>
      <c r="AP7" s="6"/>
      <c r="AQ7" s="6"/>
      <c r="AR7" s="6"/>
      <c r="AS7" s="6"/>
      <c r="AT7" s="6"/>
      <c r="AU7" s="6"/>
      <c r="AV7" s="6"/>
      <c r="AW7" s="6"/>
      <c r="AX7" s="23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ht="12.9" customHeight="1">
      <c r="A8" s="292">
        <v>300</v>
      </c>
      <c r="B8" s="303"/>
      <c r="C8" s="303"/>
      <c r="D8" s="293"/>
      <c r="E8" s="283" t="s">
        <v>2</v>
      </c>
      <c r="F8" s="284"/>
      <c r="G8" s="283">
        <v>10.300500000000001</v>
      </c>
      <c r="H8" s="284"/>
      <c r="I8" s="283">
        <v>14.259</v>
      </c>
      <c r="J8" s="284"/>
      <c r="K8" s="283">
        <v>32.676000000000002</v>
      </c>
      <c r="L8" s="284"/>
      <c r="M8" s="283" t="s">
        <v>2</v>
      </c>
      <c r="N8" s="284"/>
      <c r="O8" s="6"/>
      <c r="P8" s="353"/>
      <c r="Q8" s="353"/>
      <c r="R8" s="92"/>
      <c r="S8" s="353"/>
      <c r="T8" s="353"/>
      <c r="U8" s="353"/>
      <c r="V8" s="353"/>
      <c r="W8" s="353"/>
      <c r="X8" s="353"/>
      <c r="Y8" s="353"/>
      <c r="Z8" s="353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27"/>
      <c r="AN8" s="29"/>
      <c r="AO8" s="6"/>
      <c r="AP8" s="6"/>
      <c r="AQ8" s="6"/>
      <c r="AR8" s="6"/>
      <c r="AS8" s="6"/>
      <c r="AT8" s="6"/>
      <c r="AU8" s="6"/>
      <c r="AV8" s="6"/>
      <c r="AW8" s="6"/>
      <c r="AX8" s="23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</row>
    <row r="9" spans="1:62" ht="12.9" customHeight="1">
      <c r="A9" s="292">
        <v>350</v>
      </c>
      <c r="B9" s="303"/>
      <c r="C9" s="303"/>
      <c r="D9" s="293"/>
      <c r="E9" s="283" t="s">
        <v>2</v>
      </c>
      <c r="F9" s="284"/>
      <c r="G9" s="283">
        <v>10.384500000000001</v>
      </c>
      <c r="H9" s="284"/>
      <c r="I9" s="283">
        <v>14.416500000000001</v>
      </c>
      <c r="J9" s="284"/>
      <c r="K9" s="283">
        <v>32.802000000000007</v>
      </c>
      <c r="L9" s="284"/>
      <c r="M9" s="283" t="s">
        <v>2</v>
      </c>
      <c r="N9" s="284"/>
      <c r="O9" s="6"/>
      <c r="P9" s="353"/>
      <c r="Q9" s="353"/>
      <c r="R9" s="92"/>
      <c r="S9" s="353"/>
      <c r="T9" s="353"/>
      <c r="U9" s="353"/>
      <c r="V9" s="353"/>
      <c r="W9" s="353"/>
      <c r="X9" s="353"/>
      <c r="Y9" s="353"/>
      <c r="Z9" s="353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27"/>
      <c r="AN9" s="30"/>
      <c r="AO9" s="6"/>
      <c r="AP9" s="6"/>
      <c r="AQ9" s="6"/>
      <c r="AR9" s="6"/>
      <c r="AS9" s="6"/>
      <c r="AT9" s="6"/>
      <c r="AU9" s="6"/>
      <c r="AV9" s="6"/>
      <c r="AW9" s="6"/>
      <c r="AX9" s="23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</row>
    <row r="10" spans="1:62" ht="12.9" customHeight="1">
      <c r="A10" s="292">
        <v>400</v>
      </c>
      <c r="B10" s="303"/>
      <c r="C10" s="303"/>
      <c r="D10" s="293"/>
      <c r="E10" s="283" t="s">
        <v>2</v>
      </c>
      <c r="F10" s="284"/>
      <c r="G10" s="283">
        <v>10.531499999999999</v>
      </c>
      <c r="H10" s="284"/>
      <c r="I10" s="283">
        <v>14.500500000000002</v>
      </c>
      <c r="J10" s="284"/>
      <c r="K10" s="283">
        <v>32.907000000000004</v>
      </c>
      <c r="L10" s="284"/>
      <c r="M10" s="283">
        <v>37.863000000000007</v>
      </c>
      <c r="N10" s="284"/>
      <c r="O10" s="6"/>
      <c r="P10" s="353"/>
      <c r="Q10" s="353"/>
      <c r="R10" s="92"/>
      <c r="S10" s="353"/>
      <c r="T10" s="353"/>
      <c r="U10" s="353"/>
      <c r="V10" s="353"/>
      <c r="W10" s="353"/>
      <c r="X10" s="353"/>
      <c r="Y10" s="353"/>
      <c r="Z10" s="353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27"/>
      <c r="AN10" s="30"/>
      <c r="AO10" s="6"/>
      <c r="AP10" s="6"/>
      <c r="AQ10" s="6"/>
      <c r="AR10" s="6"/>
      <c r="AS10" s="6"/>
      <c r="AT10" s="6"/>
      <c r="AU10" s="6"/>
      <c r="AV10" s="6"/>
      <c r="AW10" s="6"/>
      <c r="AX10" s="23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ht="12.9" customHeight="1">
      <c r="A11" s="292">
        <v>450</v>
      </c>
      <c r="B11" s="303"/>
      <c r="C11" s="303"/>
      <c r="D11" s="293"/>
      <c r="E11" s="283" t="s">
        <v>2</v>
      </c>
      <c r="F11" s="284"/>
      <c r="G11" s="283">
        <v>10.531499999999999</v>
      </c>
      <c r="H11" s="284"/>
      <c r="I11" s="283">
        <v>14.500500000000002</v>
      </c>
      <c r="J11" s="284"/>
      <c r="K11" s="283">
        <v>32.907000000000004</v>
      </c>
      <c r="L11" s="284"/>
      <c r="M11" s="283">
        <v>37.863000000000007</v>
      </c>
      <c r="N11" s="284"/>
      <c r="O11" s="6"/>
      <c r="P11" s="353"/>
      <c r="Q11" s="353"/>
      <c r="R11" s="92"/>
      <c r="S11" s="353"/>
      <c r="T11" s="353"/>
      <c r="U11" s="353"/>
      <c r="V11" s="353"/>
      <c r="W11" s="353"/>
      <c r="X11" s="353"/>
      <c r="Y11" s="353"/>
      <c r="Z11" s="353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27"/>
      <c r="AN11" s="31" t="s">
        <v>68</v>
      </c>
      <c r="AO11" s="6"/>
      <c r="AP11" s="6"/>
      <c r="AQ11" s="6"/>
      <c r="AR11" s="6"/>
      <c r="AS11" s="6"/>
      <c r="AT11" s="6"/>
      <c r="AU11" s="6"/>
      <c r="AV11" s="6"/>
      <c r="AW11" s="6"/>
      <c r="AX11" s="23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</row>
    <row r="12" spans="1:62" ht="12.9" customHeight="1">
      <c r="A12" s="292">
        <v>500</v>
      </c>
      <c r="B12" s="303"/>
      <c r="C12" s="303"/>
      <c r="D12" s="293"/>
      <c r="E12" s="283">
        <v>18.837</v>
      </c>
      <c r="F12" s="284"/>
      <c r="G12" s="283">
        <v>10.615500000000001</v>
      </c>
      <c r="H12" s="284"/>
      <c r="I12" s="283">
        <v>14.6265</v>
      </c>
      <c r="J12" s="284"/>
      <c r="K12" s="283">
        <v>32.991000000000007</v>
      </c>
      <c r="L12" s="284"/>
      <c r="M12" s="283">
        <v>37.926000000000002</v>
      </c>
      <c r="N12" s="284"/>
      <c r="O12" s="6"/>
      <c r="P12" s="353"/>
      <c r="Q12" s="353"/>
      <c r="R12" s="92"/>
      <c r="S12" s="353"/>
      <c r="T12" s="353"/>
      <c r="U12" s="353"/>
      <c r="V12" s="353"/>
      <c r="W12" s="353"/>
      <c r="X12" s="353"/>
      <c r="Y12" s="353"/>
      <c r="Z12" s="353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27"/>
      <c r="AN12" s="31"/>
      <c r="AO12" s="6"/>
      <c r="AP12" s="6"/>
      <c r="AQ12" s="6"/>
      <c r="AR12" s="6"/>
      <c r="AS12" s="6"/>
      <c r="AT12" s="6"/>
      <c r="AU12" s="6"/>
      <c r="AV12" s="6"/>
      <c r="AW12" s="6"/>
      <c r="AX12" s="23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</row>
    <row r="13" spans="1:62" ht="12.9" customHeight="1">
      <c r="A13" s="292">
        <v>550</v>
      </c>
      <c r="B13" s="303"/>
      <c r="C13" s="303"/>
      <c r="D13" s="293"/>
      <c r="E13" s="283" t="s">
        <v>2</v>
      </c>
      <c r="F13" s="284"/>
      <c r="G13" s="283">
        <v>10.752000000000001</v>
      </c>
      <c r="H13" s="284"/>
      <c r="I13" s="283">
        <v>14.7105</v>
      </c>
      <c r="J13" s="284"/>
      <c r="K13" s="283">
        <v>33.085499999999996</v>
      </c>
      <c r="L13" s="284"/>
      <c r="M13" s="283">
        <v>38.0625</v>
      </c>
      <c r="N13" s="284"/>
      <c r="O13" s="6"/>
      <c r="P13" s="353"/>
      <c r="Q13" s="353"/>
      <c r="R13" s="92"/>
      <c r="S13" s="353"/>
      <c r="T13" s="353"/>
      <c r="U13" s="353"/>
      <c r="V13" s="353"/>
      <c r="W13" s="353"/>
      <c r="X13" s="353"/>
      <c r="Y13" s="353"/>
      <c r="Z13" s="353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25" t="s">
        <v>69</v>
      </c>
      <c r="AN13" s="26" t="s">
        <v>70</v>
      </c>
      <c r="AO13" s="6"/>
      <c r="AP13" s="6"/>
      <c r="AQ13" s="6"/>
      <c r="AR13" s="6"/>
      <c r="AS13" s="6"/>
      <c r="AT13" s="6"/>
      <c r="AU13" s="6"/>
      <c r="AV13" s="6"/>
      <c r="AW13" s="6"/>
      <c r="AX13" s="23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</row>
    <row r="14" spans="1:62" ht="12.9" customHeight="1">
      <c r="A14" s="292">
        <v>650</v>
      </c>
      <c r="B14" s="303"/>
      <c r="C14" s="303"/>
      <c r="D14" s="293"/>
      <c r="E14" s="283" t="s">
        <v>2</v>
      </c>
      <c r="F14" s="284"/>
      <c r="G14" s="283">
        <v>10.983000000000001</v>
      </c>
      <c r="H14" s="284"/>
      <c r="I14" s="283">
        <v>14.962500000000002</v>
      </c>
      <c r="J14" s="284"/>
      <c r="K14" s="283">
        <v>33.316500000000005</v>
      </c>
      <c r="L14" s="284"/>
      <c r="M14" s="283">
        <v>38.22</v>
      </c>
      <c r="N14" s="284"/>
      <c r="O14" s="6"/>
      <c r="P14" s="353"/>
      <c r="Q14" s="353"/>
      <c r="R14" s="92"/>
      <c r="S14" s="353"/>
      <c r="T14" s="353"/>
      <c r="U14" s="353"/>
      <c r="V14" s="353"/>
      <c r="W14" s="353"/>
      <c r="X14" s="353"/>
      <c r="Y14" s="353"/>
      <c r="Z14" s="353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21"/>
      <c r="AN14" s="32"/>
      <c r="AO14" s="6"/>
      <c r="AP14" s="6"/>
      <c r="AQ14" s="6"/>
      <c r="AR14" s="6"/>
      <c r="AS14" s="6"/>
      <c r="AT14" s="6"/>
      <c r="AU14" s="6"/>
      <c r="AV14" s="6"/>
      <c r="AW14" s="6"/>
      <c r="AX14" s="23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</row>
    <row r="15" spans="1:62" ht="12.9" customHeight="1">
      <c r="A15" s="351"/>
      <c r="B15" s="351"/>
      <c r="C15" s="351"/>
      <c r="D15" s="351"/>
      <c r="E15" s="155"/>
      <c r="F15" s="155"/>
      <c r="G15" s="156"/>
      <c r="H15" s="157"/>
      <c r="I15" s="155"/>
      <c r="J15" s="155"/>
      <c r="K15" s="155"/>
      <c r="L15" s="155"/>
      <c r="M15" s="155"/>
      <c r="N15" s="15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21"/>
      <c r="AN15" s="32" t="s">
        <v>71</v>
      </c>
      <c r="AO15" s="6"/>
      <c r="AP15" s="6"/>
      <c r="AQ15" s="6"/>
      <c r="AR15" s="6"/>
      <c r="AS15" s="6"/>
      <c r="AT15" s="6"/>
      <c r="AU15" s="6"/>
      <c r="AV15" s="6"/>
      <c r="AW15" s="6"/>
      <c r="AX15" s="23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</row>
    <row r="16" spans="1:62" ht="12.9" customHeight="1">
      <c r="A16" s="263" t="s">
        <v>16</v>
      </c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5"/>
      <c r="O16" s="6"/>
      <c r="P16" s="6"/>
      <c r="Q16" s="6"/>
      <c r="R16" s="6"/>
      <c r="S16" s="365"/>
      <c r="T16" s="365"/>
      <c r="U16" s="366"/>
      <c r="V16" s="366"/>
      <c r="W16" s="366"/>
      <c r="X16" s="366"/>
      <c r="Y16" s="366"/>
      <c r="Z16" s="366"/>
      <c r="AA16" s="366"/>
      <c r="AB16" s="365"/>
      <c r="AC16" s="365"/>
      <c r="AD16" s="365"/>
      <c r="AE16" s="377"/>
      <c r="AF16" s="377"/>
      <c r="AG16" s="377"/>
      <c r="AH16" s="49"/>
      <c r="AI16" s="6"/>
      <c r="AJ16" s="6"/>
      <c r="AK16" s="6"/>
      <c r="AL16" s="6"/>
      <c r="AM16" s="24"/>
      <c r="AN16" s="22"/>
      <c r="AO16" s="6"/>
      <c r="AP16" s="6"/>
      <c r="AQ16" s="6"/>
      <c r="AR16" s="6"/>
      <c r="AS16" s="6"/>
      <c r="AT16" s="6"/>
      <c r="AU16" s="6"/>
      <c r="AV16" s="6"/>
      <c r="AW16" s="6"/>
      <c r="AX16" s="23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</row>
    <row r="17" spans="1:62" ht="12.9" customHeight="1">
      <c r="A17" s="292">
        <v>78</v>
      </c>
      <c r="B17" s="293"/>
      <c r="C17" s="292">
        <v>94</v>
      </c>
      <c r="D17" s="293"/>
      <c r="E17" s="292">
        <v>126</v>
      </c>
      <c r="F17" s="293"/>
      <c r="G17" s="292">
        <v>186</v>
      </c>
      <c r="H17" s="293"/>
      <c r="I17" s="292">
        <v>218</v>
      </c>
      <c r="J17" s="293"/>
      <c r="K17" s="292">
        <v>250</v>
      </c>
      <c r="L17" s="293"/>
      <c r="M17" s="292">
        <v>282</v>
      </c>
      <c r="N17" s="293"/>
      <c r="O17" s="6"/>
      <c r="P17" s="6"/>
      <c r="Q17" s="6"/>
      <c r="R17" s="6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6"/>
      <c r="AJ17" s="6"/>
      <c r="AK17" s="6"/>
      <c r="AL17" s="6"/>
      <c r="AM17" s="25" t="s">
        <v>72</v>
      </c>
      <c r="AN17" s="26" t="s">
        <v>73</v>
      </c>
      <c r="AO17" s="6"/>
      <c r="AP17" s="6"/>
      <c r="AQ17" s="6"/>
      <c r="AR17" s="6"/>
      <c r="AS17" s="6"/>
      <c r="AT17" s="6"/>
      <c r="AU17" s="6"/>
      <c r="AV17" s="6"/>
      <c r="AW17" s="6"/>
      <c r="AX17" s="23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</row>
    <row r="18" spans="1:62" ht="17.100000000000001" customHeight="1">
      <c r="A18" s="283">
        <v>9.0195000000000007</v>
      </c>
      <c r="B18" s="284"/>
      <c r="C18" s="283">
        <v>1.4490000000000001</v>
      </c>
      <c r="D18" s="284"/>
      <c r="E18" s="283">
        <v>1.974</v>
      </c>
      <c r="F18" s="284"/>
      <c r="G18" s="283">
        <v>2.8245</v>
      </c>
      <c r="H18" s="284"/>
      <c r="I18" s="283">
        <v>3.3915000000000002</v>
      </c>
      <c r="J18" s="284"/>
      <c r="K18" s="283">
        <v>3.9060000000000006</v>
      </c>
      <c r="L18" s="284"/>
      <c r="M18" s="283">
        <v>5.649</v>
      </c>
      <c r="N18" s="284"/>
      <c r="O18" s="6"/>
      <c r="P18" s="6"/>
      <c r="Q18" s="6"/>
      <c r="S18" s="294" t="s">
        <v>17</v>
      </c>
      <c r="T18" s="294"/>
      <c r="U18" s="362">
        <f>MODULO!D3</f>
        <v>0</v>
      </c>
      <c r="V18" s="362"/>
      <c r="W18" s="362"/>
      <c r="X18" s="362"/>
      <c r="Y18" s="362"/>
      <c r="Z18" s="362"/>
      <c r="AA18" s="362"/>
      <c r="AB18" s="362"/>
      <c r="AC18" s="362"/>
      <c r="AD18" s="362"/>
      <c r="AE18" s="280" t="s">
        <v>53</v>
      </c>
      <c r="AF18" s="280"/>
      <c r="AG18" s="280"/>
      <c r="AH18" s="371">
        <f>MODULO!O3</f>
        <v>0</v>
      </c>
      <c r="AI18" s="371"/>
      <c r="AJ18" s="371"/>
      <c r="AK18" s="371"/>
      <c r="AL18" s="42"/>
      <c r="AM18" s="24"/>
      <c r="AN18" s="22"/>
      <c r="AO18" s="6"/>
      <c r="AP18" s="6"/>
      <c r="AQ18" s="6"/>
      <c r="AR18" s="6"/>
      <c r="AS18" s="6"/>
      <c r="AT18" s="6"/>
      <c r="AU18" s="6"/>
      <c r="AV18" s="6"/>
      <c r="AW18" s="6"/>
      <c r="AX18" s="23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</row>
    <row r="19" spans="1:62" ht="17.100000000000001" customHeight="1">
      <c r="A19" s="154"/>
      <c r="B19" s="154"/>
      <c r="C19" s="154"/>
      <c r="D19" s="154"/>
      <c r="E19" s="154"/>
      <c r="F19" s="154"/>
      <c r="G19" s="154"/>
      <c r="H19" s="154"/>
      <c r="I19" s="154"/>
      <c r="J19" s="158"/>
      <c r="K19" s="154"/>
      <c r="L19" s="154"/>
      <c r="M19" s="154"/>
      <c r="N19" s="154"/>
      <c r="O19" s="6"/>
      <c r="P19" s="6"/>
      <c r="Q19" s="6"/>
      <c r="S19" s="358">
        <f>MODULO!R1</f>
        <v>0</v>
      </c>
      <c r="T19" s="358"/>
      <c r="U19" s="359" t="s">
        <v>93</v>
      </c>
      <c r="V19" s="360"/>
      <c r="W19" s="361"/>
      <c r="X19" s="369">
        <f>MODULO!D4</f>
        <v>0</v>
      </c>
      <c r="Y19" s="370"/>
      <c r="Z19" s="370"/>
      <c r="AA19" s="370"/>
      <c r="AB19" s="370"/>
      <c r="AC19" s="370"/>
      <c r="AD19" s="370"/>
      <c r="AE19" s="370" t="str">
        <f>MODULO!D2</f>
        <v>CLICCA QUI</v>
      </c>
      <c r="AF19" s="370"/>
      <c r="AG19" s="370"/>
      <c r="AH19" s="370"/>
      <c r="AI19" s="370"/>
      <c r="AJ19" s="370"/>
      <c r="AK19" s="370"/>
      <c r="AL19" s="38"/>
      <c r="AM19" s="25" t="s">
        <v>143</v>
      </c>
      <c r="AN19" s="26" t="s">
        <v>144</v>
      </c>
      <c r="AO19" s="6"/>
      <c r="AP19" s="6"/>
      <c r="AQ19" s="6"/>
      <c r="AR19" s="6"/>
      <c r="AS19" s="6"/>
      <c r="AT19" s="6"/>
      <c r="AU19" s="6"/>
      <c r="AV19" s="6"/>
      <c r="AW19" s="6"/>
      <c r="AX19" s="23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</row>
    <row r="20" spans="1:62" ht="17.100000000000001" customHeight="1">
      <c r="A20" s="263" t="s">
        <v>19</v>
      </c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5"/>
      <c r="O20" s="6"/>
      <c r="P20" s="6"/>
      <c r="Q20" s="6"/>
      <c r="S20" s="358"/>
      <c r="T20" s="358"/>
      <c r="U20" s="294" t="s">
        <v>18</v>
      </c>
      <c r="V20" s="294"/>
      <c r="W20" s="294"/>
      <c r="X20" s="368"/>
      <c r="Y20" s="368"/>
      <c r="Z20" s="368"/>
      <c r="AA20" s="368"/>
      <c r="AB20" s="368"/>
      <c r="AC20" s="368"/>
      <c r="AD20" s="368"/>
      <c r="AE20" s="136" t="s">
        <v>138</v>
      </c>
      <c r="AF20" s="372">
        <f>MODULO!O4</f>
        <v>0</v>
      </c>
      <c r="AG20" s="372"/>
      <c r="AH20" s="372"/>
      <c r="AI20" s="372"/>
      <c r="AJ20" s="372"/>
      <c r="AK20" s="372"/>
      <c r="AL20" s="39"/>
      <c r="AM20" s="21"/>
      <c r="AN20" s="22"/>
      <c r="AO20" s="6"/>
      <c r="AP20" s="6"/>
      <c r="AQ20" s="6"/>
      <c r="AR20" s="6"/>
      <c r="AS20" s="6"/>
      <c r="AT20" s="6"/>
      <c r="AU20" s="6"/>
      <c r="AV20" s="6"/>
      <c r="AW20" s="6"/>
      <c r="AX20" s="23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</row>
    <row r="21" spans="1:62" ht="15" customHeight="1" thickBot="1">
      <c r="A21" s="314" t="s">
        <v>0</v>
      </c>
      <c r="B21" s="315"/>
      <c r="C21" s="315"/>
      <c r="D21" s="316"/>
      <c r="E21" s="311" t="s">
        <v>29</v>
      </c>
      <c r="F21" s="312"/>
      <c r="G21" s="312"/>
      <c r="H21" s="312"/>
      <c r="I21" s="312"/>
      <c r="J21" s="313"/>
      <c r="K21" s="311" t="s">
        <v>30</v>
      </c>
      <c r="L21" s="312"/>
      <c r="M21" s="312"/>
      <c r="N21" s="313"/>
      <c r="O21" s="20" t="s">
        <v>52</v>
      </c>
      <c r="P21" s="20" t="s">
        <v>12</v>
      </c>
      <c r="Q21" s="20" t="s">
        <v>12</v>
      </c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363"/>
      <c r="AF21" s="363"/>
      <c r="AG21" s="363"/>
      <c r="AH21" s="363"/>
      <c r="AI21" s="363"/>
      <c r="AJ21" s="363"/>
      <c r="AK21" s="363"/>
      <c r="AL21" s="40" t="s">
        <v>12</v>
      </c>
      <c r="AM21" s="16" t="s">
        <v>74</v>
      </c>
      <c r="AN21" s="17" t="s">
        <v>75</v>
      </c>
      <c r="AO21" s="18"/>
      <c r="AP21" s="18"/>
      <c r="AQ21" s="18"/>
      <c r="AR21" s="18"/>
      <c r="AS21" s="18"/>
      <c r="AT21" s="18"/>
      <c r="AU21" s="18"/>
      <c r="AV21" s="18"/>
      <c r="AW21" s="18"/>
      <c r="AX21" s="19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</row>
    <row r="22" spans="1:62" ht="20.100000000000001" customHeight="1">
      <c r="A22" s="348" t="s">
        <v>1</v>
      </c>
      <c r="B22" s="349"/>
      <c r="C22" s="349"/>
      <c r="D22" s="350"/>
      <c r="E22" s="292">
        <v>40</v>
      </c>
      <c r="F22" s="293"/>
      <c r="G22" s="292">
        <v>70</v>
      </c>
      <c r="H22" s="293"/>
      <c r="I22" s="292"/>
      <c r="J22" s="293"/>
      <c r="K22" s="159"/>
      <c r="L22" s="152">
        <v>20</v>
      </c>
      <c r="M22" s="160">
        <v>40</v>
      </c>
      <c r="N22" s="161">
        <v>60</v>
      </c>
      <c r="O22" s="339" t="s">
        <v>6</v>
      </c>
      <c r="P22" s="356" t="s">
        <v>48</v>
      </c>
      <c r="Q22" s="356" t="s">
        <v>47</v>
      </c>
      <c r="R22" s="99"/>
      <c r="S22" s="240" t="s">
        <v>7</v>
      </c>
      <c r="T22" s="240" t="s">
        <v>8</v>
      </c>
      <c r="U22" s="243" t="s">
        <v>9</v>
      </c>
      <c r="V22" s="245" t="s">
        <v>54</v>
      </c>
      <c r="W22" s="240" t="s">
        <v>10</v>
      </c>
      <c r="X22" s="245" t="s">
        <v>50</v>
      </c>
      <c r="Y22" s="246" t="s">
        <v>51</v>
      </c>
      <c r="Z22" s="245" t="s">
        <v>48</v>
      </c>
      <c r="AA22" s="245" t="s">
        <v>47</v>
      </c>
      <c r="AB22" s="257" t="s">
        <v>49</v>
      </c>
      <c r="AC22" s="257" t="s">
        <v>45</v>
      </c>
      <c r="AD22" s="257"/>
      <c r="AE22" s="257"/>
      <c r="AF22" s="257" t="s">
        <v>137</v>
      </c>
      <c r="AG22" s="367" t="s">
        <v>117</v>
      </c>
      <c r="AH22" s="367"/>
      <c r="AI22" s="257" t="s">
        <v>135</v>
      </c>
      <c r="AJ22" s="364" t="s">
        <v>20</v>
      </c>
      <c r="AK22" s="364"/>
      <c r="AL22" s="381" t="s">
        <v>76</v>
      </c>
      <c r="AM22" s="383" t="s">
        <v>13</v>
      </c>
      <c r="AN22" s="254" t="s">
        <v>27</v>
      </c>
      <c r="AO22" s="384" t="s">
        <v>28</v>
      </c>
      <c r="AP22" s="254" t="s">
        <v>92</v>
      </c>
      <c r="AQ22" s="254" t="s">
        <v>34</v>
      </c>
      <c r="AR22" s="254" t="s">
        <v>35</v>
      </c>
      <c r="AS22" s="373" t="s">
        <v>78</v>
      </c>
      <c r="AT22" s="373" t="s">
        <v>77</v>
      </c>
      <c r="AU22" s="254" t="s">
        <v>36</v>
      </c>
      <c r="AV22" s="254" t="s">
        <v>37</v>
      </c>
      <c r="AW22" s="254" t="s">
        <v>42</v>
      </c>
      <c r="AX22" s="254" t="s">
        <v>45</v>
      </c>
      <c r="AY22" s="254" t="s">
        <v>41</v>
      </c>
      <c r="AZ22" s="376" t="s">
        <v>46</v>
      </c>
      <c r="BA22" s="375" t="s">
        <v>59</v>
      </c>
      <c r="BB22" s="375" t="s">
        <v>60</v>
      </c>
      <c r="BC22" s="378" t="s">
        <v>87</v>
      </c>
      <c r="BD22" s="376" t="s">
        <v>88</v>
      </c>
      <c r="BE22" s="254" t="s">
        <v>47</v>
      </c>
      <c r="BF22" s="254" t="s">
        <v>48</v>
      </c>
      <c r="BG22" s="274" t="s">
        <v>76</v>
      </c>
      <c r="BH22" s="254"/>
      <c r="BI22" s="6"/>
      <c r="BJ22" s="6"/>
    </row>
    <row r="23" spans="1:62" ht="18" customHeight="1">
      <c r="A23" s="292">
        <v>270</v>
      </c>
      <c r="B23" s="303"/>
      <c r="C23" s="303"/>
      <c r="D23" s="293"/>
      <c r="E23" s="283">
        <v>18.952500000000004</v>
      </c>
      <c r="F23" s="284"/>
      <c r="G23" s="304" t="s">
        <v>52</v>
      </c>
      <c r="H23" s="305"/>
      <c r="I23" s="304" t="s">
        <v>52</v>
      </c>
      <c r="J23" s="305"/>
      <c r="K23" s="162"/>
      <c r="L23" s="304">
        <v>32.844000000000001</v>
      </c>
      <c r="M23" s="306"/>
      <c r="N23" s="307"/>
      <c r="O23" s="339"/>
      <c r="P23" s="357"/>
      <c r="Q23" s="357"/>
      <c r="R23" s="99"/>
      <c r="S23" s="240"/>
      <c r="T23" s="240"/>
      <c r="U23" s="243"/>
      <c r="V23" s="248"/>
      <c r="W23" s="240"/>
      <c r="X23" s="245"/>
      <c r="Y23" s="247"/>
      <c r="Z23" s="245"/>
      <c r="AA23" s="245"/>
      <c r="AB23" s="257"/>
      <c r="AC23" s="134" t="s">
        <v>131</v>
      </c>
      <c r="AD23" s="135" t="s">
        <v>96</v>
      </c>
      <c r="AE23" s="134" t="s">
        <v>106</v>
      </c>
      <c r="AF23" s="258"/>
      <c r="AG23" s="367"/>
      <c r="AH23" s="367"/>
      <c r="AI23" s="258"/>
      <c r="AJ23" s="364"/>
      <c r="AK23" s="364"/>
      <c r="AL23" s="382"/>
      <c r="AM23" s="383"/>
      <c r="AN23" s="254"/>
      <c r="AO23" s="384"/>
      <c r="AP23" s="254"/>
      <c r="AQ23" s="254"/>
      <c r="AR23" s="254"/>
      <c r="AS23" s="254"/>
      <c r="AT23" s="254"/>
      <c r="AU23" s="254"/>
      <c r="AV23" s="254"/>
      <c r="AW23" s="254"/>
      <c r="AX23" s="254"/>
      <c r="AY23" s="254"/>
      <c r="AZ23" s="376"/>
      <c r="BA23" s="375"/>
      <c r="BB23" s="375"/>
      <c r="BC23" s="378"/>
      <c r="BD23" s="376"/>
      <c r="BE23" s="254"/>
      <c r="BF23" s="254"/>
      <c r="BG23" s="274"/>
      <c r="BH23" s="254"/>
      <c r="BI23" s="6"/>
      <c r="BJ23" s="6"/>
    </row>
    <row r="24" spans="1:62" ht="15" customHeight="1">
      <c r="A24" s="292">
        <v>300</v>
      </c>
      <c r="B24" s="303"/>
      <c r="C24" s="303"/>
      <c r="D24" s="293"/>
      <c r="E24" s="283">
        <v>19.078500000000002</v>
      </c>
      <c r="F24" s="284"/>
      <c r="G24" s="304" t="s">
        <v>52</v>
      </c>
      <c r="H24" s="305"/>
      <c r="I24" s="304" t="s">
        <v>52</v>
      </c>
      <c r="J24" s="305"/>
      <c r="K24" s="162"/>
      <c r="L24" s="304">
        <v>32.844000000000001</v>
      </c>
      <c r="M24" s="306"/>
      <c r="N24" s="307"/>
      <c r="O24" s="302" t="str">
        <f>IF(AND(P24="X",Q24="X"),"NO",IF(OR(SUM(X24-U24)&lt;90,SUM(X24-U24)&gt;130),"NO",SUM(X24-U24)))</f>
        <v>NO</v>
      </c>
      <c r="P24" s="295" t="str">
        <f>IF(MODULO!I7="SI","X","")</f>
        <v/>
      </c>
      <c r="Q24" s="295" t="str">
        <f>IF(MODULO!J7="SI","X","")</f>
        <v/>
      </c>
      <c r="R24" s="241" t="s">
        <v>98</v>
      </c>
      <c r="S24" s="241">
        <f>MODULO!B7</f>
        <v>0</v>
      </c>
      <c r="T24" s="243">
        <f>MODULO!C7</f>
        <v>0</v>
      </c>
      <c r="U24" s="243">
        <f>MODULO!D7</f>
        <v>0</v>
      </c>
      <c r="V24" s="243">
        <f>MODULO!E7</f>
        <v>0</v>
      </c>
      <c r="W24" s="243">
        <f>MODULO!F7</f>
        <v>0</v>
      </c>
      <c r="X24" s="243">
        <f>MODULO!G7</f>
        <v>0</v>
      </c>
      <c r="Y24" s="243" t="str">
        <f>IF(MODULO!H7="1R","X",IF(MODULO!H7="2R","2X",""))</f>
        <v/>
      </c>
      <c r="Z24" s="259" t="str">
        <f>IF(P24="","",IF(AND(P24="X",O24=92),O24,"NO"))</f>
        <v/>
      </c>
      <c r="AA24" s="259" t="str">
        <f>IF(Q24="","",IF(AND(W24&gt;395,Q24="X"),O24,"NO"))</f>
        <v/>
      </c>
      <c r="AB24" s="243" t="str">
        <f>IF(MODULO!K7="SI","X","")</f>
        <v/>
      </c>
      <c r="AC24" s="271">
        <f>MODULO!L7</f>
        <v>0</v>
      </c>
      <c r="AD24" s="243">
        <f>MODULO!M7</f>
        <v>0</v>
      </c>
      <c r="AE24" s="243">
        <f>MODULO!N7</f>
        <v>0</v>
      </c>
      <c r="AF24" s="243">
        <f>MODULO!O7</f>
        <v>0</v>
      </c>
      <c r="AG24" s="243">
        <f>MODULO!P7</f>
        <v>0</v>
      </c>
      <c r="AH24" s="243"/>
      <c r="AI24" s="243">
        <f>MODULO!Q7</f>
        <v>0</v>
      </c>
      <c r="AJ24" s="301">
        <f>IF(OR(Z24="NO",AA24="NO",AO24="NO"),"NO",IFERROR(IF(AND(BE24="0",Q24="X",Z24="NO"),"NO",SUM(AM24:AY25,BA24:BH25)),0))</f>
        <v>0</v>
      </c>
      <c r="AK24" s="301"/>
      <c r="AL24" s="275"/>
      <c r="AM24" s="255">
        <f>IF(S24&lt;&gt;0,INDEX($A$6:$I$14,MATCH($W24,$A$6:$A$14,0),MATCH($U24,$A$6:$I$6,0)),0)</f>
        <v>0</v>
      </c>
      <c r="AN24" s="255">
        <f>IF(S24&lt;&gt;0,INDEX($A$18:$N$18,MATCH($X24,$A$17:$M$17,0)),0)</f>
        <v>0</v>
      </c>
      <c r="AO24" s="255">
        <f>IF(S24&lt;&gt;0,INDEX($A$22:$I$30,MATCH($W24,$A$22:$A$30,0),MATCH($AF24,$A$22:$I$22,0)),0)</f>
        <v>0</v>
      </c>
      <c r="AP24" s="255" t="str">
        <f>IF(AND(X24&gt;126,$AB24="X"),INDEX($A$35:$G$35,MATCH($X24,$A$34:$G$34,0))+7,IF(AND(X24&lt;=126,$AB24="X"),INDEX($A$35:$G$35,MATCH($X24,$A$34:$G$34,0))+5,"0"))</f>
        <v>0</v>
      </c>
      <c r="AQ24" s="255" t="str">
        <f>IF($AB24="",("0"),IF(AND($AB24="X",$AZ24&gt;900),$L$39,IF(AND($AB24="X",$AZ24&lt;=900,$AZ24&gt;600),$I$39,IF(AND($AB24="X",$AZ24&lt;=600,$AZ24&gt;450),$G$39,IF(AND($AB24="X",$AZ24&lt;=450,$AZ24&gt;400),$E$39,IF(AND($AB24="X",$AZ24&lt;=400,$AZ24&gt;300),$C$39,IF(AND($AB24="X",$AZ24&lt;=300),$A$39)))))))</f>
        <v>0</v>
      </c>
      <c r="AR24" s="255" t="str">
        <f>IF($AB24="",("0"),IF(AND($AB24="X",$Y24="x",$X24&gt;185,$AZ24&gt;900),$L$43,IF(AND($AB24="X",$Y24="x",$X24&gt;185,$AZ24&lt;=900,$AZ24&gt;600),$I$43,IF(AND($AB24="X",$Y24="x",$X24&gt;185,$AZ24&lt;=600,$AZ24&gt;450),$G$43,IF(AND($AB24="X",$Y24="x",$X24&gt;185,$AZ24&lt;=450,$AZ24&gt;400),$E$43,IF(AND($AB24="X",$Y24="x",$X24&gt;185,$AZ24&lt;=400,$AZ24&gt;300),$C$43,IF(AND($AB24="X",$Y24="x",$X24&gt;185,$AZ24&lt;=300),$A$43)))))))</f>
        <v>0</v>
      </c>
      <c r="AS24" s="255" t="str">
        <f>IF($AB24="",("0"),IF(AND($AB24="X",$P24="x",$X24&gt;185,$AZ24&gt;900),$L$43,IF(AND($AB24="X",$P24="x",$X24&gt;185,$AZ24&lt;=900,$AZ24&gt;600),$I$43,IF(AND($AB24="X",$P24="x",$X24&gt;185,$AZ24&lt;=600,$AZ24&gt;450),$G$43,IF(AND($AB24="X",$P24="x",$X24&gt;185,$AZ24&lt;=450,$AZ24&gt;400),$E$43,IF(AND($AB24="X",$P24="x",$X24&gt;185,$AZ24&lt;=400,$AZ24&gt;300),$C$43,IF(AND($AB24="X",$P24="x",$X24&gt;185,$AZ24&lt;=300),$A$43)))))))</f>
        <v>0</v>
      </c>
      <c r="AT24" s="255" t="str">
        <f>IF($AB24="",("0"),IF(AND($AB24="X",$Q24="x",$X24&gt;185,$AZ24&gt;900),$L$43,IF(AND($AB24="X",$Q24="x",$X24&gt;185,$AZ24&lt;=900,$AZ24&gt;600),$I$43,IF(AND($AB24="X",$Q24="x",$X24&gt;185,$AZ24&lt;=600,$AZ24&gt;450),$G$43,IF(AND($AB24="X",$Q24="x",$X24&gt;185,$AZ24&lt;=450,$AZ24&gt;400),$E$43,IF(AND($AB24="X",$Q24="x",$X24&gt;185,$AZ24&lt;=400,$AZ24&gt;300),$C$43,IF(AND($AB24="X",$Q24="x",$X24&gt;185,$AZ24&lt;=300),$A$43)))))))</f>
        <v>0</v>
      </c>
      <c r="AU24" s="255" t="str">
        <f>IF($Y24="X",INDEX($A$47:$N$47,MATCH($W24,$A$46:$N$46,0)),"0")</f>
        <v>0</v>
      </c>
      <c r="AV24" s="255">
        <f>IF($Y24="2X",INDEX($A$47:$N$47,MATCH($W24,$A$46:$N$46,0)),"0")*2</f>
        <v>0</v>
      </c>
      <c r="AW24" s="255">
        <f>IF($V24&gt;1164,$L$49,IF(AND($X24&lt;185,$S24&lt;10),$L$50,IF(AND($X24&lt;185,$S24&gt;=10),$O$50,IF(AND($X24&gt;185,$S24&lt;10),$L$51,IF(AND($X24&gt;185,$S24&gt;=10),$O$51)))))</f>
        <v>5.5</v>
      </c>
      <c r="AX24" s="255" t="str">
        <f>IF(AC24="PLASTICA",(-AW24+$L$52),IF(AND(AC24="SU MISURA TECNOINOX",V24&lt;=864),($L$53+$L$52),IF(AND(AC24="SU MISURA TECNOINOX",V24&lt;=1164),($L$54+$L$52),"0")))</f>
        <v>0</v>
      </c>
      <c r="AY24" s="255">
        <f>IF(S24&lt;&gt;0,IF(AC24="SU MISURA TECNOINOX",-AW24-BA24-BB24),0)</f>
        <v>0</v>
      </c>
      <c r="AZ24" s="374">
        <f>IF(AND($V24&lt;=264),300,IF(AND($V24&gt;=265,$V24&lt;=364),400,IF(AND($V24&gt;=365,$V24&lt;=414),450,IF(AND($V24&gt;=415,$V24&lt;=564),600,IF(AND($V24&gt;=565,$V24&lt;=864),900,IF(AND($V24&gt;=865),1200))))))</f>
        <v>300</v>
      </c>
      <c r="BA24" s="277" t="e">
        <f>IF(OR($AC24="STANDARD",AJ58="X"),"0",INDEX($A$81:$N$89,MATCH($W24,$A$81:$A$89,0),MATCH($AZ24,$A$81:$N$81,0)))</f>
        <v>#N/A</v>
      </c>
      <c r="BB24" s="255" t="e">
        <f>IF(OR($AC24="STANDARD",AJ58="X"),"0",INDEX($A$92:$N$99,MATCH($X24,$A$92:$A$99,0),MATCH($AZ24,$A$92:$N$92,0)))</f>
        <v>#N/A</v>
      </c>
      <c r="BC24" s="277" t="str">
        <f>IF(AJ58="","0",INDEX($A$111:$N$119,MATCH($W24,$A$111:$A$119,0),MATCH($AZ24,$A$111:$N$111,0)))</f>
        <v>0</v>
      </c>
      <c r="BD24" s="277" t="str">
        <f>IF(AJ58="","0",INDEX($A$122:$N$129,MATCH($X24,$A$122:$A$129,0),MATCH($AZ24,$A$122:$N$122,0)))</f>
        <v>0</v>
      </c>
      <c r="BE24" s="255" t="str">
        <f>IFERROR(INDEX($A$59:$N$64,MATCH($W24,$A$59:$A$64,0),MATCH($AA24,$A$59:$N$59,0)),"0")</f>
        <v>0</v>
      </c>
      <c r="BF24" s="255" t="str">
        <f>IFERROR(INDEX($A$68:$I$76,MATCH($W24,$A$68:$A$76,0),MATCH(Z24,$A$68:$I$68,0)),"0")</f>
        <v>0</v>
      </c>
      <c r="BG24" s="253" t="b">
        <f>IF(AL24="X",-AW24)</f>
        <v>0</v>
      </c>
      <c r="BH24" s="252"/>
      <c r="BI24" s="6"/>
      <c r="BJ24" s="6"/>
    </row>
    <row r="25" spans="1:62" ht="15" customHeight="1">
      <c r="A25" s="292">
        <v>350</v>
      </c>
      <c r="B25" s="303"/>
      <c r="C25" s="303"/>
      <c r="D25" s="293"/>
      <c r="E25" s="283">
        <v>19.194000000000006</v>
      </c>
      <c r="F25" s="284"/>
      <c r="G25" s="304" t="s">
        <v>52</v>
      </c>
      <c r="H25" s="305"/>
      <c r="I25" s="304" t="s">
        <v>52</v>
      </c>
      <c r="J25" s="305"/>
      <c r="K25" s="162"/>
      <c r="L25" s="304">
        <v>32.844000000000001</v>
      </c>
      <c r="M25" s="306"/>
      <c r="N25" s="307"/>
      <c r="O25" s="302"/>
      <c r="P25" s="296"/>
      <c r="Q25" s="296"/>
      <c r="R25" s="241"/>
      <c r="S25" s="241"/>
      <c r="T25" s="243"/>
      <c r="U25" s="243"/>
      <c r="V25" s="243"/>
      <c r="W25" s="243"/>
      <c r="X25" s="243"/>
      <c r="Y25" s="243"/>
      <c r="Z25" s="259"/>
      <c r="AA25" s="259"/>
      <c r="AB25" s="243"/>
      <c r="AC25" s="271"/>
      <c r="AD25" s="243"/>
      <c r="AE25" s="243"/>
      <c r="AF25" s="243"/>
      <c r="AG25" s="243"/>
      <c r="AH25" s="243"/>
      <c r="AI25" s="243"/>
      <c r="AJ25" s="301"/>
      <c r="AK25" s="301"/>
      <c r="AL25" s="276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374"/>
      <c r="BA25" s="277"/>
      <c r="BB25" s="255"/>
      <c r="BC25" s="277"/>
      <c r="BD25" s="277"/>
      <c r="BE25" s="255"/>
      <c r="BF25" s="255"/>
      <c r="BG25" s="253"/>
      <c r="BH25" s="252"/>
      <c r="BI25" s="6"/>
      <c r="BJ25" s="6"/>
    </row>
    <row r="26" spans="1:62" ht="15" customHeight="1">
      <c r="A26" s="292">
        <v>400</v>
      </c>
      <c r="B26" s="303"/>
      <c r="C26" s="303"/>
      <c r="D26" s="293"/>
      <c r="E26" s="283">
        <v>19.298999999999999</v>
      </c>
      <c r="F26" s="284"/>
      <c r="G26" s="283">
        <v>23.8245</v>
      </c>
      <c r="H26" s="284"/>
      <c r="I26" s="304" t="s">
        <v>52</v>
      </c>
      <c r="J26" s="305"/>
      <c r="K26" s="162"/>
      <c r="L26" s="304">
        <v>32.844000000000001</v>
      </c>
      <c r="M26" s="306"/>
      <c r="N26" s="307"/>
      <c r="O26" s="302" t="str">
        <f>IF(AND(P26="X",Q26="X"),"NO",IF(OR(SUM(X26-U26)&lt;90,SUM(X26-U26)&gt;130),"NO",SUM(X26-U26)))</f>
        <v>NO</v>
      </c>
      <c r="P26" s="295" t="str">
        <f>IF(MODULO!I8="SI","X","")</f>
        <v/>
      </c>
      <c r="Q26" s="295" t="str">
        <f>IF(MODULO!J8="SI","X","")</f>
        <v/>
      </c>
      <c r="R26" s="241" t="s">
        <v>99</v>
      </c>
      <c r="S26" s="241">
        <f>MODULO!B8</f>
        <v>0</v>
      </c>
      <c r="T26" s="243">
        <f>MODULO!C8</f>
        <v>0</v>
      </c>
      <c r="U26" s="243">
        <f>MODULO!D8</f>
        <v>0</v>
      </c>
      <c r="V26" s="243">
        <f>MODULO!E8</f>
        <v>0</v>
      </c>
      <c r="W26" s="243">
        <f>MODULO!F8</f>
        <v>0</v>
      </c>
      <c r="X26" s="243">
        <f>MODULO!G8</f>
        <v>0</v>
      </c>
      <c r="Y26" s="243" t="str">
        <f>IF(MODULO!H8="1R","X",IF(MODULO!H8="2R","2X",""))</f>
        <v/>
      </c>
      <c r="Z26" s="259" t="str">
        <f>IF(P26="","",IF(AND(P26="X",O26=92),O26,"NO"))</f>
        <v/>
      </c>
      <c r="AA26" s="259" t="str">
        <f>IF(Q26="","",IF(AND(W26&gt;395,Q26="X"),O26,"NO"))</f>
        <v/>
      </c>
      <c r="AB26" s="243" t="str">
        <f>IF(MODULO!K8="SI","X","")</f>
        <v/>
      </c>
      <c r="AC26" s="271">
        <f>MODULO!L8</f>
        <v>0</v>
      </c>
      <c r="AD26" s="243">
        <f>MODULO!M8</f>
        <v>0</v>
      </c>
      <c r="AE26" s="243">
        <f>MODULO!N8</f>
        <v>0</v>
      </c>
      <c r="AF26" s="243">
        <f>MODULO!O8</f>
        <v>0</v>
      </c>
      <c r="AG26" s="243">
        <f>MODULO!P8</f>
        <v>0</v>
      </c>
      <c r="AH26" s="243"/>
      <c r="AI26" s="243">
        <f>MODULO!Q8</f>
        <v>0</v>
      </c>
      <c r="AJ26" s="301">
        <f>IF(OR(Z26="NO",AA26="NO",AO26="NO"),"NO",IFERROR(IF(AND(BE26="0",Q26="X",Z26="NO"),"NO",SUM(AM26:AY27,BA26:BH27)),0))</f>
        <v>0</v>
      </c>
      <c r="AK26" s="301"/>
      <c r="AL26" s="275"/>
      <c r="AM26" s="255">
        <f>IF(S26&lt;&gt;0,INDEX($A$6:$I$14,MATCH($W26,$A$6:$A$14,0),MATCH($U26,$A$6:$I$6,0)),0)</f>
        <v>0</v>
      </c>
      <c r="AN26" s="255">
        <f>IF(S26&lt;&gt;0,INDEX($A$18:$N$18,MATCH($X26,$A$17:$M$17,0)),0)</f>
        <v>0</v>
      </c>
      <c r="AO26" s="255">
        <f>IF(S26&lt;&gt;0,INDEX($A$22:$I$30,MATCH($W26,$A$22:$A$30,0),MATCH($AF26,$A$22:$I$22,0)),0)</f>
        <v>0</v>
      </c>
      <c r="AP26" s="255" t="str">
        <f>IF(AND(X26&gt;126,$AB26="X"),INDEX($A$35:$G$35,MATCH($X26,$A$34:$G$34,0))+7,IF(AND(X26&lt;=126,$AB26="X"),INDEX($A$35:$G$35,MATCH($X26,$A$34:$G$34,0))+5,"0"))</f>
        <v>0</v>
      </c>
      <c r="AQ26" s="255" t="str">
        <f>IF($AB26="",("0"),IF(AND($AB26="X",$AZ26&gt;900),$L$39,IF(AND($AB26="X",$AZ26&lt;=900,$AZ26&gt;600),$I$39,IF(AND($AB26="X",$AZ26&lt;=600,$AZ26&gt;450),$G$39,IF(AND($AB26="X",$AZ26&lt;=450,$AZ26&gt;400),$E$39,IF(AND($AB26="X",$AZ26&lt;=400,$AZ26&gt;300),$C$39,IF(AND($AB26="X",$AZ26&lt;=300),$A$39)))))))</f>
        <v>0</v>
      </c>
      <c r="AR26" s="255" t="str">
        <f>IF($AB26="",("0"),IF(AND($AB26="X",$Y26="x",$X26&gt;185,$AZ26&gt;900),$L$43,IF(AND($AB26="X",$Y26="x",$X26&gt;185,$AZ26&lt;=900,$AZ26&gt;600),$I$43,IF(AND($AB26="X",$Y26="x",$X26&gt;185,$AZ26&lt;=600,$AZ26&gt;450),$G$43,IF(AND($AB26="X",$Y26="x",$X26&gt;185,$AZ26&lt;=450,$AZ26&gt;400),$E$43,IF(AND($AB26="X",$Y26="x",$X26&gt;185,$AZ26&lt;=400,$AZ26&gt;300),$C$43,IF(AND($AB26="X",$Y26="x",$X26&gt;185,$AZ26&lt;=300),$A$43)))))))</f>
        <v>0</v>
      </c>
      <c r="AS26" s="255" t="str">
        <f>IF($AB26="",("0"),IF(AND($AB26="X",$P26="x",$X26&gt;185,$AZ26&gt;900),$L$43,IF(AND($AB26="X",$P26="x",$X26&gt;185,$AZ26&lt;=900,$AZ26&gt;600),$I$43,IF(AND($AB26="X",$P26="x",$X26&gt;185,$AZ26&lt;=600,$AZ26&gt;450),$G$43,IF(AND($AB26="X",$P26="x",$X26&gt;185,$AZ26&lt;=450,$AZ26&gt;400),$E$43,IF(AND($AB26="X",$P26="x",$X26&gt;185,$AZ26&lt;=400,$AZ26&gt;300),$C$43,IF(AND($AB26="X",$P26="x",$X26&gt;185,$AZ26&lt;=300),$A$43)))))))</f>
        <v>0</v>
      </c>
      <c r="AT26" s="255" t="str">
        <f>IF($AB26="",("0"),IF(AND($AB26="X",$Q26="x",$X26&gt;185,$AZ26&gt;900),$L$43,IF(AND($AB26="X",$Q26="x",$X26&gt;185,$AZ26&lt;=900,$AZ26&gt;600),$I$43,IF(AND($AB26="X",$Q26="x",$X26&gt;185,$AZ26&lt;=600,$AZ26&gt;450),$G$43,IF(AND($AB26="X",$Q26="x",$X26&gt;185,$AZ26&lt;=450,$AZ26&gt;400),$E$43,IF(AND($AB26="X",$Q26="x",$X26&gt;185,$AZ26&lt;=400,$AZ26&gt;300),$C$43,IF(AND($AB26="X",$Q26="x",$X26&gt;185,$AZ26&lt;=300),$A$43)))))))</f>
        <v>0</v>
      </c>
      <c r="AU26" s="255" t="str">
        <f>IF($Y26="X",INDEX($A$47:$N$47,MATCH($W26,$A$46:$N$46,0)),"0")</f>
        <v>0</v>
      </c>
      <c r="AV26" s="255">
        <f>IF($Y26="2X",INDEX($A$47:$N$47,MATCH($W26,$A$46:$N$46,0)),"0")*2</f>
        <v>0</v>
      </c>
      <c r="AW26" s="277">
        <f>IF($V26&gt;1164,$L$49,IF(AND($X26&lt;185,$S26&lt;10),$L$50,IF(AND($X26&lt;185,$S26&gt;=10),$O$50,IF(AND($X26&gt;185,$S26&lt;10),$L$51,IF(AND($X26&gt;185,$S26&gt;=10),$O$51)))))</f>
        <v>5.5</v>
      </c>
      <c r="AX26" s="255" t="str">
        <f t="shared" ref="AX26" si="0">IF(AC26="PLASTICA",(-AW26+$L$52),IF(AND(AC26="SU MISURA TECNOINOX",V26&lt;=864),($L$53+$L$52),IF(AND(AC26="SU MISURA TECNOINOX",V26&lt;=1164),($L$54+$L$52),"0")))</f>
        <v>0</v>
      </c>
      <c r="AY26" s="255">
        <f t="shared" ref="AY26" si="1">IF(S26&lt;&gt;0,IF(AC26="SU MISURA TECNOINOX",-AW26-BA26-BB26),0)</f>
        <v>0</v>
      </c>
      <c r="AZ26" s="374">
        <f>IF(AND($V26&lt;=264),300,IF(AND($V26&gt;=265,$V26&lt;=364),400,IF(AND($V26&gt;=365,$V26&lt;=414),450,IF(AND($V26&gt;=415,$V26&lt;=564),600,IF(AND($V26&gt;=565,$V26&lt;=864),900,IF(AND($V26&gt;=865),1200))))))</f>
        <v>300</v>
      </c>
      <c r="BA26" s="277" t="e">
        <f>IF(OR($AC26="STANDARD",AJ60="X"),"0",INDEX($A$81:$N$89,MATCH($W26,$A$81:$A$89,0),MATCH($AZ26,$A$81:$N$81,0)))</f>
        <v>#N/A</v>
      </c>
      <c r="BB26" s="255" t="e">
        <f>IF(OR($AC26="STANDARD",AJ60="X"),"0",INDEX($A$92:$N$99,MATCH($X26,$A$92:$A$99,0),MATCH($AZ26,$A$92:$N$92,0)))</f>
        <v>#N/A</v>
      </c>
      <c r="BC26" s="277" t="str">
        <f>IF(AJ60="","0",INDEX($A$111:$N$119,MATCH($W26,$A$111:$A$119,0),MATCH($AZ26,$A$111:$N$111,0)))</f>
        <v>0</v>
      </c>
      <c r="BD26" s="277" t="str">
        <f>IF(AJ60="","0",INDEX($A$122:$N$129,MATCH($X26,$A$122:$A$129,0),MATCH($AZ26,$A$122:$N$122,0)))</f>
        <v>0</v>
      </c>
      <c r="BE26" s="255" t="str">
        <f>IFERROR(INDEX($A$59:$N$64,MATCH($W26,$A$59:$A$64,0),MATCH($AA26,$A$59:$N$59,0)),"0")</f>
        <v>0</v>
      </c>
      <c r="BF26" s="255" t="str">
        <f>IFERROR(INDEX($A$68:$I$76,MATCH($W26,$A$68:$A$76,0),MATCH(Z26,$A$68:$I$68,0)),"0")</f>
        <v>0</v>
      </c>
      <c r="BG26" s="253" t="b">
        <f>IF(AL26="X",-AW26)</f>
        <v>0</v>
      </c>
      <c r="BH26" s="252"/>
      <c r="BI26" s="6"/>
      <c r="BJ26" s="6"/>
    </row>
    <row r="27" spans="1:62" ht="15" customHeight="1">
      <c r="A27" s="292">
        <v>450</v>
      </c>
      <c r="B27" s="303"/>
      <c r="C27" s="303"/>
      <c r="D27" s="293"/>
      <c r="E27" s="283">
        <v>19.298999999999999</v>
      </c>
      <c r="F27" s="284"/>
      <c r="G27" s="283">
        <v>23.8245</v>
      </c>
      <c r="H27" s="284"/>
      <c r="I27" s="304" t="s">
        <v>52</v>
      </c>
      <c r="J27" s="305"/>
      <c r="K27" s="162"/>
      <c r="L27" s="304">
        <v>32.844000000000001</v>
      </c>
      <c r="M27" s="306"/>
      <c r="N27" s="307"/>
      <c r="O27" s="302"/>
      <c r="P27" s="296"/>
      <c r="Q27" s="296"/>
      <c r="R27" s="241"/>
      <c r="S27" s="241"/>
      <c r="T27" s="243"/>
      <c r="U27" s="243"/>
      <c r="V27" s="243"/>
      <c r="W27" s="243"/>
      <c r="X27" s="243"/>
      <c r="Y27" s="243"/>
      <c r="Z27" s="259"/>
      <c r="AA27" s="259"/>
      <c r="AB27" s="243"/>
      <c r="AC27" s="271"/>
      <c r="AD27" s="243"/>
      <c r="AE27" s="243"/>
      <c r="AF27" s="243"/>
      <c r="AG27" s="243"/>
      <c r="AH27" s="243"/>
      <c r="AI27" s="243"/>
      <c r="AJ27" s="301"/>
      <c r="AK27" s="301"/>
      <c r="AL27" s="276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77"/>
      <c r="AX27" s="255"/>
      <c r="AY27" s="255"/>
      <c r="AZ27" s="374"/>
      <c r="BA27" s="277"/>
      <c r="BB27" s="255"/>
      <c r="BC27" s="277"/>
      <c r="BD27" s="277"/>
      <c r="BE27" s="255"/>
      <c r="BF27" s="255"/>
      <c r="BG27" s="253"/>
      <c r="BH27" s="252"/>
      <c r="BI27" s="6"/>
      <c r="BJ27" s="6"/>
    </row>
    <row r="28" spans="1:62" ht="15" customHeight="1">
      <c r="A28" s="292">
        <v>500</v>
      </c>
      <c r="B28" s="303"/>
      <c r="C28" s="303"/>
      <c r="D28" s="293"/>
      <c r="E28" s="283">
        <v>19.414499999999997</v>
      </c>
      <c r="F28" s="284"/>
      <c r="G28" s="283">
        <v>23.94</v>
      </c>
      <c r="H28" s="284"/>
      <c r="I28" s="304" t="s">
        <v>52</v>
      </c>
      <c r="J28" s="305"/>
      <c r="K28" s="162"/>
      <c r="L28" s="304">
        <v>32.844000000000001</v>
      </c>
      <c r="M28" s="306"/>
      <c r="N28" s="307"/>
      <c r="O28" s="302" t="str">
        <f>IF(AND(P28="X",Q28="X"),"NO",IF(OR(SUM(X28-U28)&lt;90,SUM(X28-U28)&gt;130),"NO",SUM(X28-U28)))</f>
        <v>NO</v>
      </c>
      <c r="P28" s="295" t="str">
        <f>IF(MODULO!I9="SI","X","")</f>
        <v/>
      </c>
      <c r="Q28" s="295" t="str">
        <f>IF(MODULO!J9="SI","X","")</f>
        <v/>
      </c>
      <c r="R28" s="241" t="s">
        <v>100</v>
      </c>
      <c r="S28" s="241">
        <f>MODULO!B9</f>
        <v>0</v>
      </c>
      <c r="T28" s="243">
        <f>MODULO!C9</f>
        <v>0</v>
      </c>
      <c r="U28" s="243">
        <f>MODULO!D9</f>
        <v>0</v>
      </c>
      <c r="V28" s="243">
        <f>MODULO!E9</f>
        <v>0</v>
      </c>
      <c r="W28" s="243">
        <f>MODULO!F9</f>
        <v>0</v>
      </c>
      <c r="X28" s="243">
        <f>MODULO!G9</f>
        <v>0</v>
      </c>
      <c r="Y28" s="243" t="str">
        <f>IF(MODULO!H9="1R","X",IF(MODULO!H9="2R","2X",""))</f>
        <v/>
      </c>
      <c r="Z28" s="259" t="str">
        <f>IF(P28="","",IF(AND(P28="X",O28=92),O28,"NO"))</f>
        <v/>
      </c>
      <c r="AA28" s="259" t="str">
        <f>IF(Q28="","",IF(AND(W28&gt;395,Q28="X"),O28,"NO"))</f>
        <v/>
      </c>
      <c r="AB28" s="243" t="str">
        <f>IF(MODULO!K9="SI","X","")</f>
        <v/>
      </c>
      <c r="AC28" s="271">
        <f>MODULO!L9</f>
        <v>0</v>
      </c>
      <c r="AD28" s="243">
        <f>MODULO!M9</f>
        <v>0</v>
      </c>
      <c r="AE28" s="243">
        <f>MODULO!N9</f>
        <v>0</v>
      </c>
      <c r="AF28" s="243">
        <f>MODULO!O9</f>
        <v>0</v>
      </c>
      <c r="AG28" s="243">
        <f>MODULO!P9</f>
        <v>0</v>
      </c>
      <c r="AH28" s="243"/>
      <c r="AI28" s="243">
        <f>MODULO!Q9</f>
        <v>0</v>
      </c>
      <c r="AJ28" s="301">
        <f>IF(OR(Z28="NO",AA28="NO",AO28="NO"),"NO",IFERROR(IF(AND(BE28="0",Q28="X",Z28="NO"),"NO",SUM(AM28:AY29,BA28:BH29)),0))</f>
        <v>0</v>
      </c>
      <c r="AK28" s="301"/>
      <c r="AL28" s="275"/>
      <c r="AM28" s="255">
        <f>IF(S28&lt;&gt;0,INDEX($A$6:$I$14,MATCH($W28,$A$6:$A$14,0),MATCH($U28,$A$6:$I$6,0)),0)</f>
        <v>0</v>
      </c>
      <c r="AN28" s="255">
        <f>IF(S28&lt;&gt;0,INDEX($A$18:$N$18,MATCH($X28,$A$17:$M$17,0)),0)</f>
        <v>0</v>
      </c>
      <c r="AO28" s="255">
        <f>IF(S28&lt;&gt;0,INDEX($A$22:$I$30,MATCH($W28,$A$22:$A$30,0),MATCH($AF28,$A$22:$I$22,0)),0)</f>
        <v>0</v>
      </c>
      <c r="AP28" s="255" t="str">
        <f>IF(AND(X28&gt;126,$AB28="X"),INDEX($A$35:$G$35,MATCH($X28,$A$34:$G$34,0))+7,IF(AND(X28&lt;=126,$AB28="X"),INDEX($A$35:$G$35,MATCH($X28,$A$34:$G$34,0))+5,"0"))</f>
        <v>0</v>
      </c>
      <c r="AQ28" s="255" t="str">
        <f>IF($AB28="",("0"),IF(AND($AB28="X",$AZ28&gt;900),$L$39,IF(AND($AB28="X",$AZ28&lt;=900,$AZ28&gt;600),$I$39,IF(AND($AB28="X",$AZ28&lt;=600,$AZ28&gt;450),$G$39,IF(AND($AB28="X",$AZ28&lt;=450,$AZ28&gt;400),$E$39,IF(AND($AB28="X",$AZ28&lt;=400,$AZ28&gt;300),$C$39,IF(AND($AB28="X",$AZ28&lt;=300),$A$39)))))))</f>
        <v>0</v>
      </c>
      <c r="AR28" s="255" t="str">
        <f>IF($AB28="",("0"),IF(AND($AB28="X",$Y28="x",$X28&gt;185,$AZ28&gt;900),$L$43,IF(AND($AB28="X",$Y28="x",$X28&gt;185,$AZ28&lt;=900,$AZ28&gt;600),$I$43,IF(AND($AB28="X",$Y28="x",$X28&gt;185,$AZ28&lt;=600,$AZ28&gt;450),$G$43,IF(AND($AB28="X",$Y28="x",$X28&gt;185,$AZ28&lt;=450,$AZ28&gt;400),$E$43,IF(AND($AB28="X",$Y28="x",$X28&gt;185,$AZ28&lt;=400,$AZ28&gt;300),$C$43,IF(AND($AB28="X",$Y28="x",$X28&gt;185,$AZ28&lt;=300),$A$43)))))))</f>
        <v>0</v>
      </c>
      <c r="AS28" s="255" t="str">
        <f>IF($AB28="",("0"),IF(AND($AB28="X",$P28="x",$X28&gt;185,$AZ28&gt;900),$L$43,IF(AND($AB28="X",$P28="x",$X28&gt;185,$AZ28&lt;=900,$AZ28&gt;600),$I$43,IF(AND($AB28="X",$P28="x",$X28&gt;185,$AZ28&lt;=600,$AZ28&gt;450),$G$43,IF(AND($AB28="X",$P28="x",$X28&gt;185,$AZ28&lt;=450,$AZ28&gt;400),$E$43,IF(AND($AB28="X",$P28="x",$X28&gt;185,$AZ28&lt;=400,$AZ28&gt;300),$C$43,IF(AND($AB28="X",$P28="x",$X28&gt;185,$AZ28&lt;=300),$A$43)))))))</f>
        <v>0</v>
      </c>
      <c r="AT28" s="255" t="str">
        <f>IF($AB28="",("0"),IF(AND($AB28="X",$Q28="x",$X28&gt;185,$AZ28&gt;900),$L$43,IF(AND($AB28="X",$Q28="x",$X28&gt;185,$AZ28&lt;=900,$AZ28&gt;600),$I$43,IF(AND($AB28="X",$Q28="x",$X28&gt;185,$AZ28&lt;=600,$AZ28&gt;450),$G$43,IF(AND($AB28="X",$Q28="x",$X28&gt;185,$AZ28&lt;=450,$AZ28&gt;400),$E$43,IF(AND($AB28="X",$Q28="x",$X28&gt;185,$AZ28&lt;=400,$AZ28&gt;300),$C$43,IF(AND($AB28="X",$Q28="x",$X28&gt;185,$AZ28&lt;=300),$A$43)))))))</f>
        <v>0</v>
      </c>
      <c r="AU28" s="255" t="str">
        <f>IF($Y28="X",INDEX($A$47:$N$47,MATCH($W28,$A$46:$N$46,0)),"0")</f>
        <v>0</v>
      </c>
      <c r="AV28" s="255">
        <f>IF($Y28="2X",INDEX($A$47:$N$47,MATCH($W28,$A$46:$N$46,0)),"0")*2</f>
        <v>0</v>
      </c>
      <c r="AW28" s="277">
        <f>IF($V28&gt;1164,$L$49,IF(AND($X28&lt;185,$S28&lt;10),$L$50,IF(AND($X28&lt;185,$S28&gt;=10),$O$50,IF(AND($X28&gt;185,$S28&lt;10),$L$51,IF(AND($X28&gt;185,$S28&gt;=10),$O$51)))))</f>
        <v>5.5</v>
      </c>
      <c r="AX28" s="255" t="str">
        <f t="shared" ref="AX28" si="2">IF(AC28="PLASTICA",(-AW28+$L$52),IF(AND(AC28="SU MISURA TECNOINOX",V28&lt;=864),($L$53+$L$52),IF(AND(AC28="SU MISURA TECNOINOX",V28&lt;=1164),($L$54+$L$52),"0")))</f>
        <v>0</v>
      </c>
      <c r="AY28" s="255">
        <f t="shared" ref="AY28" si="3">IF(S28&lt;&gt;0,IF(AC28="SU MISURA TECNOINOX",-AW28-BA28-BB28),0)</f>
        <v>0</v>
      </c>
      <c r="AZ28" s="374">
        <f>IF(AND($V28&lt;=264),300,IF(AND($V28&gt;=265,$V28&lt;=364),400,IF(AND($V28&gt;=365,$V28&lt;=414),450,IF(AND($V28&gt;=415,$V28&lt;=564),600,IF(AND($V28&gt;=565,$V28&lt;=864),900,IF(AND($V28&gt;=865),1200))))))</f>
        <v>300</v>
      </c>
      <c r="BA28" s="277" t="e">
        <f>IF(OR($AC28="STANDARD",AJ62="X"),"0",INDEX($A$81:$N$89,MATCH($W28,$A$81:$A$89,0),MATCH($AZ28,$A$81:$N$81,0)))</f>
        <v>#N/A</v>
      </c>
      <c r="BB28" s="255" t="e">
        <f>IF(OR($AC28="STANDARD",AJ62="X"),"0",INDEX($A$92:$N$99,MATCH($X28,$A$92:$A$99,0),MATCH($AZ28,$A$92:$N$92,0)))</f>
        <v>#N/A</v>
      </c>
      <c r="BC28" s="277" t="str">
        <f>IF(AJ62="","0",INDEX($A$111:$N$119,MATCH($W28,$A$111:$A$119,0),MATCH($AZ28,$A$111:$N$111,0)))</f>
        <v>0</v>
      </c>
      <c r="BD28" s="277" t="str">
        <f>IF(AJ62="","0",INDEX($A$122:$N$129,MATCH($X28,$A$122:$A$129,0),MATCH($AZ28,$A$122:$N$122,0)))</f>
        <v>0</v>
      </c>
      <c r="BE28" s="255" t="str">
        <f>IFERROR(INDEX($A$59:$N$64,MATCH($W28,$A$59:$A$64,0),MATCH($AA28,$A$59:$N$59,0)),"0")</f>
        <v>0</v>
      </c>
      <c r="BF28" s="255" t="str">
        <f>IFERROR(INDEX($A$68:$I$76,MATCH($W28,$A$68:$A$76,0),MATCH(Z28,$A$68:$I$68,0)),"0")</f>
        <v>0</v>
      </c>
      <c r="BG28" s="253" t="b">
        <f>IF(AL28="X",-AW28)</f>
        <v>0</v>
      </c>
      <c r="BH28" s="252"/>
      <c r="BI28" s="6"/>
      <c r="BJ28" s="6"/>
    </row>
    <row r="29" spans="1:62" ht="15" customHeight="1">
      <c r="A29" s="292">
        <v>550</v>
      </c>
      <c r="B29" s="303"/>
      <c r="C29" s="303"/>
      <c r="D29" s="293"/>
      <c r="E29" s="283">
        <v>19.519500000000001</v>
      </c>
      <c r="F29" s="284"/>
      <c r="G29" s="283">
        <v>24.055499999999999</v>
      </c>
      <c r="H29" s="284"/>
      <c r="I29" s="304" t="s">
        <v>52</v>
      </c>
      <c r="J29" s="305"/>
      <c r="K29" s="162"/>
      <c r="L29" s="304">
        <v>32.844000000000001</v>
      </c>
      <c r="M29" s="306"/>
      <c r="N29" s="307"/>
      <c r="O29" s="302"/>
      <c r="P29" s="296"/>
      <c r="Q29" s="296"/>
      <c r="R29" s="241"/>
      <c r="S29" s="241"/>
      <c r="T29" s="243"/>
      <c r="U29" s="243"/>
      <c r="V29" s="243"/>
      <c r="W29" s="243"/>
      <c r="X29" s="243"/>
      <c r="Y29" s="243"/>
      <c r="Z29" s="259"/>
      <c r="AA29" s="259"/>
      <c r="AB29" s="243"/>
      <c r="AC29" s="271"/>
      <c r="AD29" s="243"/>
      <c r="AE29" s="243"/>
      <c r="AF29" s="243"/>
      <c r="AG29" s="243"/>
      <c r="AH29" s="243"/>
      <c r="AI29" s="243"/>
      <c r="AJ29" s="301"/>
      <c r="AK29" s="301"/>
      <c r="AL29" s="276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77"/>
      <c r="AX29" s="255"/>
      <c r="AY29" s="255"/>
      <c r="AZ29" s="374"/>
      <c r="BA29" s="277"/>
      <c r="BB29" s="255"/>
      <c r="BC29" s="277"/>
      <c r="BD29" s="277"/>
      <c r="BE29" s="255"/>
      <c r="BF29" s="255"/>
      <c r="BG29" s="253"/>
      <c r="BH29" s="252"/>
      <c r="BI29" s="6"/>
      <c r="BJ29" s="6"/>
    </row>
    <row r="30" spans="1:62" ht="15" customHeight="1">
      <c r="A30" s="292">
        <v>650</v>
      </c>
      <c r="B30" s="303"/>
      <c r="C30" s="303"/>
      <c r="D30" s="293"/>
      <c r="E30" s="304" t="s">
        <v>52</v>
      </c>
      <c r="F30" s="305"/>
      <c r="G30" s="283">
        <v>24.265500000000003</v>
      </c>
      <c r="H30" s="284"/>
      <c r="I30" s="304" t="s">
        <v>52</v>
      </c>
      <c r="J30" s="305"/>
      <c r="K30" s="162"/>
      <c r="L30" s="304">
        <v>32.844000000000001</v>
      </c>
      <c r="M30" s="306"/>
      <c r="N30" s="307"/>
      <c r="O30" s="302" t="str">
        <f>IF(AND(P30="X",Q30="X"),"NO",IF(OR(SUM(X30-U30)&lt;90,SUM(X30-U30)&gt;130),"NO",SUM(X30-U30)))</f>
        <v>NO</v>
      </c>
      <c r="P30" s="295" t="str">
        <f>IF(MODULO!I10="SI","X","")</f>
        <v/>
      </c>
      <c r="Q30" s="295" t="str">
        <f>IF(MODULO!J10="SI","X","")</f>
        <v/>
      </c>
      <c r="R30" s="241" t="s">
        <v>101</v>
      </c>
      <c r="S30" s="241">
        <f>MODULO!B10</f>
        <v>0</v>
      </c>
      <c r="T30" s="243">
        <f>MODULO!C10</f>
        <v>0</v>
      </c>
      <c r="U30" s="243">
        <f>MODULO!D10</f>
        <v>0</v>
      </c>
      <c r="V30" s="243">
        <f>MODULO!E10</f>
        <v>0</v>
      </c>
      <c r="W30" s="243">
        <f>MODULO!F10</f>
        <v>0</v>
      </c>
      <c r="X30" s="243">
        <f>MODULO!G10</f>
        <v>0</v>
      </c>
      <c r="Y30" s="243" t="str">
        <f>IF(MODULO!H10="1R","X",IF(MODULO!H10="2R","2X",""))</f>
        <v/>
      </c>
      <c r="Z30" s="259" t="str">
        <f>IF(P30="","",IF(AND(P30="X",O30=92),O30,"NO"))</f>
        <v/>
      </c>
      <c r="AA30" s="259" t="str">
        <f>IF(Q30="","",IF(AND(W30&gt;395,Q30="X"),O30,"NO"))</f>
        <v/>
      </c>
      <c r="AB30" s="243" t="str">
        <f>IF(MODULO!K10="SI","X","")</f>
        <v/>
      </c>
      <c r="AC30" s="271">
        <f>MODULO!L10</f>
        <v>0</v>
      </c>
      <c r="AD30" s="243">
        <f>MODULO!M10</f>
        <v>0</v>
      </c>
      <c r="AE30" s="243">
        <f>MODULO!N10</f>
        <v>0</v>
      </c>
      <c r="AF30" s="243">
        <f>MODULO!O10</f>
        <v>0</v>
      </c>
      <c r="AG30" s="243">
        <f>MODULO!P10</f>
        <v>0</v>
      </c>
      <c r="AH30" s="243"/>
      <c r="AI30" s="243">
        <f>MODULO!Q10</f>
        <v>0</v>
      </c>
      <c r="AJ30" s="301">
        <f>IF(OR(Z30="NO",AA30="NO",AO30="NO"),"NO",IFERROR(IF(AND(BE30="0",Q30="X",Z30="NO"),"NO",SUM(AM30:AY31,BA30:BH31)),0))</f>
        <v>0</v>
      </c>
      <c r="AK30" s="301"/>
      <c r="AL30" s="275"/>
      <c r="AM30" s="255">
        <f>IF(S30&lt;&gt;0,INDEX($A$6:$I$14,MATCH($W30,$A$6:$A$14,0),MATCH($U30,$A$6:$I$6,0)),0)</f>
        <v>0</v>
      </c>
      <c r="AN30" s="255">
        <f>IF(S30&lt;&gt;0,INDEX($A$18:$N$18,MATCH($X30,$A$17:$M$17,0)),0)</f>
        <v>0</v>
      </c>
      <c r="AO30" s="255">
        <f>IF(S30&lt;&gt;0,INDEX($A$22:$I$30,MATCH($W30,$A$22:$A$30,0),MATCH($AF30,$A$22:$I$22,0)),0)</f>
        <v>0</v>
      </c>
      <c r="AP30" s="255" t="str">
        <f>IF(AND(X30&gt;126,$AB30="X"),INDEX($A$35:$G$35,MATCH($X30,$A$34:$G$34,0))+7,IF(AND(X30&lt;=126,$AB30="X"),INDEX($A$35:$G$35,MATCH($X30,$A$34:$G$34,0))+5,"0"))</f>
        <v>0</v>
      </c>
      <c r="AQ30" s="255" t="str">
        <f>IF($AB30="",("0"),IF(AND($AB30="X",$AZ30&gt;900),$L$39,IF(AND($AB30="X",$AZ30&lt;=900,$AZ30&gt;600),$I$39,IF(AND($AB30="X",$AZ30&lt;=600,$AZ30&gt;450),$G$39,IF(AND($AB30="X",$AZ30&lt;=450,$AZ30&gt;400),$E$39,IF(AND($AB30="X",$AZ30&lt;=400,$AZ30&gt;300),$C$39,IF(AND($AB30="X",$AZ30&lt;=300),$A$39)))))))</f>
        <v>0</v>
      </c>
      <c r="AR30" s="255" t="str">
        <f>IF($AB30="",("0"),IF(AND($AB30="X",$Y30="x",$X30&gt;185,$AZ30&gt;900),$L$43,IF(AND($AB30="X",$Y30="x",$X30&gt;185,$AZ30&lt;=900,$AZ30&gt;600),$I$43,IF(AND($AB30="X",$Y30="x",$X30&gt;185,$AZ30&lt;=600,$AZ30&gt;450),$G$43,IF(AND($AB30="X",$Y30="x",$X30&gt;185,$AZ30&lt;=450,$AZ30&gt;400),$E$43,IF(AND($AB30="X",$Y30="x",$X30&gt;185,$AZ30&lt;=400,$AZ30&gt;300),$C$43,IF(AND($AB30="X",$Y30="x",$X30&gt;185,$AZ30&lt;=300),$A$43)))))))</f>
        <v>0</v>
      </c>
      <c r="AS30" s="255" t="str">
        <f>IF($AB30="",("0"),IF(AND($AB30="X",$P30="x",$X30&gt;185,$AZ30&gt;900),$L$43,IF(AND($AB30="X",$P30="x",$X30&gt;185,$AZ30&lt;=900,$AZ30&gt;600),$I$43,IF(AND($AB30="X",$P30="x",$X30&gt;185,$AZ30&lt;=600,$AZ30&gt;450),$G$43,IF(AND($AB30="X",$P30="x",$X30&gt;185,$AZ30&lt;=450,$AZ30&gt;400),$E$43,IF(AND($AB30="X",$P30="x",$X30&gt;185,$AZ30&lt;=400,$AZ30&gt;300),$C$43,IF(AND($AB30="X",$P30="x",$X30&gt;185,$AZ30&lt;=300),$A$43)))))))</f>
        <v>0</v>
      </c>
      <c r="AT30" s="255" t="str">
        <f>IF($AB30="",("0"),IF(AND($AB30="X",$Q30="x",$X30&gt;185,$AZ30&gt;900),$L$43,IF(AND($AB30="X",$Q30="x",$X30&gt;185,$AZ30&lt;=900,$AZ30&gt;600),$I$43,IF(AND($AB30="X",$Q30="x",$X30&gt;185,$AZ30&lt;=600,$AZ30&gt;450),$G$43,IF(AND($AB30="X",$Q30="x",$X30&gt;185,$AZ30&lt;=450,$AZ30&gt;400),$E$43,IF(AND($AB30="X",$Q30="x",$X30&gt;185,$AZ30&lt;=400,$AZ30&gt;300),$C$43,IF(AND($AB30="X",$Q30="x",$X30&gt;185,$AZ30&lt;=300),$A$43)))))))</f>
        <v>0</v>
      </c>
      <c r="AU30" s="255" t="str">
        <f>IF($Y30="X",INDEX($A$47:$N$47,MATCH($W30,$A$46:$N$46,0)),"0")</f>
        <v>0</v>
      </c>
      <c r="AV30" s="255">
        <f>IF($Y30="2X",INDEX($A$47:$N$47,MATCH($W30,$A$46:$N$46,0)),"0")*2</f>
        <v>0</v>
      </c>
      <c r="AW30" s="277">
        <f>IF($V30&gt;1164,$L$49,IF(AND($X30&lt;185,$S30&lt;10),$L$50,IF(AND($X30&lt;185,$S30&gt;=10),$O$50,IF(AND($X30&gt;185,$S30&lt;10),$L$51,IF(AND($X30&gt;185,$S30&gt;=10),$O$51)))))</f>
        <v>5.5</v>
      </c>
      <c r="AX30" s="255" t="str">
        <f t="shared" ref="AX30" si="4">IF(AC30="PLASTICA",(-AW30+$L$52),IF(AND(AC30="SU MISURA TECNOINOX",V30&lt;=864),($L$53+$L$52),IF(AND(AC30="SU MISURA TECNOINOX",V30&lt;=1164),($L$54+$L$52),"0")))</f>
        <v>0</v>
      </c>
      <c r="AY30" s="255">
        <f t="shared" ref="AY30" si="5">IF(S30&lt;&gt;0,IF(AC30="SU MISURA TECNOINOX",-AW30-BA30-BB30),0)</f>
        <v>0</v>
      </c>
      <c r="AZ30" s="374">
        <f>IF(AND($V30&lt;=264),300,IF(AND($V30&gt;=265,$V30&lt;=364),400,IF(AND($V30&gt;=365,$V30&lt;=414),450,IF(AND($V30&gt;=415,$V30&lt;=564),600,IF(AND($V30&gt;=565,$V30&lt;=864),900,IF(AND($V30&gt;=865),1200))))))</f>
        <v>300</v>
      </c>
      <c r="BA30" s="277" t="e">
        <f>IF(OR($AC30="STANDARD",AJ64="X"),"0",INDEX($A$81:$N$89,MATCH($W30,$A$81:$A$89,0),MATCH($AZ30,$A$81:$N$81,0)))</f>
        <v>#N/A</v>
      </c>
      <c r="BB30" s="255" t="e">
        <f>IF(OR($AC30="STANDARD",AJ64="X"),"0",INDEX($A$92:$N$99,MATCH($X30,$A$92:$A$99,0),MATCH($AZ30,$A$92:$N$92,0)))</f>
        <v>#N/A</v>
      </c>
      <c r="BC30" s="277" t="str">
        <f>IF(AJ64="","0",INDEX($A$111:$N$119,MATCH($W30,$A$111:$A$119,0),MATCH($AZ30,$A$111:$N$111,0)))</f>
        <v>0</v>
      </c>
      <c r="BD30" s="277" t="str">
        <f>IF(AJ64="","0",INDEX($A$122:$N$129,MATCH($X30,$A$122:$A$129,0),MATCH($AZ30,$A$122:$N$122,0)))</f>
        <v>0</v>
      </c>
      <c r="BE30" s="255" t="str">
        <f>IFERROR(INDEX($A$59:$N$64,MATCH($W30,$A$59:$A$64,0),MATCH($AA30,$A$59:$N$59,0)),"0")</f>
        <v>0</v>
      </c>
      <c r="BF30" s="255" t="str">
        <f>IFERROR(INDEX($A$68:$I$76,MATCH($W30,$A$68:$A$76,0),MATCH(Z30,$A$68:$I$68,0)),"0")</f>
        <v>0</v>
      </c>
      <c r="BG30" s="253" t="b">
        <f>IF(AL30="X",-AW30)</f>
        <v>0</v>
      </c>
      <c r="BH30" s="252"/>
      <c r="BI30" s="6"/>
      <c r="BJ30" s="6"/>
    </row>
    <row r="31" spans="1:62" ht="15" customHeight="1">
      <c r="A31" s="163"/>
      <c r="B31" s="163"/>
      <c r="C31" s="163"/>
      <c r="D31" s="163"/>
      <c r="E31" s="164"/>
      <c r="F31" s="164"/>
      <c r="G31" s="164"/>
      <c r="H31" s="164"/>
      <c r="I31" s="164"/>
      <c r="J31" s="164"/>
      <c r="K31" s="165"/>
      <c r="L31" s="166"/>
      <c r="M31" s="167" t="s">
        <v>151</v>
      </c>
      <c r="N31" s="168">
        <v>7.8870000000000005</v>
      </c>
      <c r="O31" s="302"/>
      <c r="P31" s="296"/>
      <c r="Q31" s="296"/>
      <c r="R31" s="241"/>
      <c r="S31" s="241"/>
      <c r="T31" s="243"/>
      <c r="U31" s="243"/>
      <c r="V31" s="243"/>
      <c r="W31" s="243"/>
      <c r="X31" s="243"/>
      <c r="Y31" s="243"/>
      <c r="Z31" s="259"/>
      <c r="AA31" s="259"/>
      <c r="AB31" s="243"/>
      <c r="AC31" s="271"/>
      <c r="AD31" s="243"/>
      <c r="AE31" s="243"/>
      <c r="AF31" s="243"/>
      <c r="AG31" s="243"/>
      <c r="AH31" s="243"/>
      <c r="AI31" s="243"/>
      <c r="AJ31" s="301"/>
      <c r="AK31" s="301"/>
      <c r="AL31" s="276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77"/>
      <c r="AX31" s="255"/>
      <c r="AY31" s="255"/>
      <c r="AZ31" s="374"/>
      <c r="BA31" s="277"/>
      <c r="BB31" s="255"/>
      <c r="BC31" s="277"/>
      <c r="BD31" s="277"/>
      <c r="BE31" s="255"/>
      <c r="BF31" s="255"/>
      <c r="BG31" s="253"/>
      <c r="BH31" s="252"/>
      <c r="BI31" s="6"/>
      <c r="BJ31" s="6"/>
    </row>
    <row r="32" spans="1:62" ht="15" customHeight="1">
      <c r="A32" s="163"/>
      <c r="B32" s="163"/>
      <c r="C32" s="163"/>
      <c r="D32" s="163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302" t="str">
        <f>IF(AND(P32="X",Q32="X"),"NO",IF(OR(SUM(X32-U32)&lt;90,SUM(X32-U32)&gt;130),"NO",SUM(X32-U32)))</f>
        <v>NO</v>
      </c>
      <c r="P32" s="295" t="str">
        <f>IF(MODULO!I11="SI","X","")</f>
        <v/>
      </c>
      <c r="Q32" s="295" t="str">
        <f>IF(MODULO!J11="SI","X","")</f>
        <v/>
      </c>
      <c r="R32" s="241" t="s">
        <v>102</v>
      </c>
      <c r="S32" s="241">
        <f>MODULO!B11</f>
        <v>0</v>
      </c>
      <c r="T32" s="243">
        <f>MODULO!C11</f>
        <v>0</v>
      </c>
      <c r="U32" s="243">
        <f>MODULO!D11</f>
        <v>0</v>
      </c>
      <c r="V32" s="243">
        <f>MODULO!E11</f>
        <v>0</v>
      </c>
      <c r="W32" s="243">
        <f>MODULO!F11</f>
        <v>0</v>
      </c>
      <c r="X32" s="243">
        <f>MODULO!G11</f>
        <v>0</v>
      </c>
      <c r="Y32" s="243" t="str">
        <f>IF(MODULO!H11="1R","X",IF(MODULO!H11="2R","2X",""))</f>
        <v/>
      </c>
      <c r="Z32" s="259" t="str">
        <f>IF(P32="","",IF(AND(P32="X",O32=92),O32,"NO"))</f>
        <v/>
      </c>
      <c r="AA32" s="259" t="str">
        <f>IF(Q32="","",IF(AND(W32&gt;395,Q32="X"),O32,"NO"))</f>
        <v/>
      </c>
      <c r="AB32" s="243" t="str">
        <f>IF(MODULO!K11="SI","X","")</f>
        <v/>
      </c>
      <c r="AC32" s="271">
        <f>MODULO!L11</f>
        <v>0</v>
      </c>
      <c r="AD32" s="243">
        <f>MODULO!M11</f>
        <v>0</v>
      </c>
      <c r="AE32" s="243">
        <f>MODULO!N11</f>
        <v>0</v>
      </c>
      <c r="AF32" s="243">
        <f>MODULO!O11</f>
        <v>0</v>
      </c>
      <c r="AG32" s="243">
        <f>MODULO!P11</f>
        <v>0</v>
      </c>
      <c r="AH32" s="243"/>
      <c r="AI32" s="243">
        <f>MODULO!Q11</f>
        <v>0</v>
      </c>
      <c r="AJ32" s="301">
        <f>IF(OR(Z32="NO",AA32="NO",AO32="NO"),"NO",IFERROR(IF(AND(BE32="0",Q32="X",Z32="NO"),"NO",SUM(AM32:AY33,BA32:BH33)),0))</f>
        <v>0</v>
      </c>
      <c r="AK32" s="301"/>
      <c r="AL32" s="275"/>
      <c r="AM32" s="255">
        <f>IF(S32&lt;&gt;0,INDEX($A$6:$I$14,MATCH($W32,$A$6:$A$14,0),MATCH($U32,$A$6:$I$6,0)),0)</f>
        <v>0</v>
      </c>
      <c r="AN32" s="255">
        <f>IF(S32&lt;&gt;0,INDEX($A$18:$N$18,MATCH($X32,$A$17:$M$17,0)),0)</f>
        <v>0</v>
      </c>
      <c r="AO32" s="255">
        <f>IF(S32&lt;&gt;0,INDEX($A$22:$I$30,MATCH($W32,$A$22:$A$30,0),MATCH($AF32,$A$22:$I$22,0)),0)</f>
        <v>0</v>
      </c>
      <c r="AP32" s="255" t="str">
        <f>IF(AND(X32&gt;126,$AB32="X"),INDEX($A$35:$G$35,MATCH($X32,$A$34:$G$34,0))+7,IF(AND(X32&lt;=126,$AB32="X"),INDEX($A$35:$G$35,MATCH($X32,$A$34:$G$34,0))+5,"0"))</f>
        <v>0</v>
      </c>
      <c r="AQ32" s="255" t="str">
        <f>IF($AB32="",("0"),IF(AND($AB32="X",$AZ32&gt;900),$L$39,IF(AND($AB32="X",$AZ32&lt;=900,$AZ32&gt;600),$I$39,IF(AND($AB32="X",$AZ32&lt;=600,$AZ32&gt;450),$G$39,IF(AND($AB32="X",$AZ32&lt;=450,$AZ32&gt;400),$E$39,IF(AND($AB32="X",$AZ32&lt;=400,$AZ32&gt;300),$C$39,IF(AND($AB32="X",$AZ32&lt;=300),$A$39)))))))</f>
        <v>0</v>
      </c>
      <c r="AR32" s="255" t="str">
        <f>IF($AB32="",("0"),IF(AND($AB32="X",$Y32="x",$X32&gt;185,$AZ32&gt;900),$L$43,IF(AND($AB32="X",$Y32="x",$X32&gt;185,$AZ32&lt;=900,$AZ32&gt;600),$I$43,IF(AND($AB32="X",$Y32="x",$X32&gt;185,$AZ32&lt;=600,$AZ32&gt;450),$G$43,IF(AND($AB32="X",$Y32="x",$X32&gt;185,$AZ32&lt;=450,$AZ32&gt;400),$E$43,IF(AND($AB32="X",$Y32="x",$X32&gt;185,$AZ32&lt;=400,$AZ32&gt;300),$C$43,IF(AND($AB32="X",$Y32="x",$X32&gt;185,$AZ32&lt;=300),$A$43)))))))</f>
        <v>0</v>
      </c>
      <c r="AS32" s="255" t="str">
        <f>IF($AB32="",("0"),IF(AND($AB32="X",$P32="x",$X32&gt;185,$AZ32&gt;900),$L$43,IF(AND($AB32="X",$P32="x",$X32&gt;185,$AZ32&lt;=900,$AZ32&gt;600),$I$43,IF(AND($AB32="X",$P32="x",$X32&gt;185,$AZ32&lt;=600,$AZ32&gt;450),$G$43,IF(AND($AB32="X",$P32="x",$X32&gt;185,$AZ32&lt;=450,$AZ32&gt;400),$E$43,IF(AND($AB32="X",$P32="x",$X32&gt;185,$AZ32&lt;=400,$AZ32&gt;300),$C$43,IF(AND($AB32="X",$P32="x",$X32&gt;185,$AZ32&lt;=300),$A$43)))))))</f>
        <v>0</v>
      </c>
      <c r="AT32" s="255" t="str">
        <f>IF($AB32="",("0"),IF(AND($AB32="X",$Q32="x",$X32&gt;185,$AZ32&gt;900),$L$43,IF(AND($AB32="X",$Q32="x",$X32&gt;185,$AZ32&lt;=900,$AZ32&gt;600),$I$43,IF(AND($AB32="X",$Q32="x",$X32&gt;185,$AZ32&lt;=600,$AZ32&gt;450),$G$43,IF(AND($AB32="X",$Q32="x",$X32&gt;185,$AZ32&lt;=450,$AZ32&gt;400),$E$43,IF(AND($AB32="X",$Q32="x",$X32&gt;185,$AZ32&lt;=400,$AZ32&gt;300),$C$43,IF(AND($AB32="X",$Q32="x",$X32&gt;185,$AZ32&lt;=300),$A$43)))))))</f>
        <v>0</v>
      </c>
      <c r="AU32" s="255" t="str">
        <f>IF($Y32="X",INDEX($A$47:$N$47,MATCH($W32,$A$46:$N$46,0)),"0")</f>
        <v>0</v>
      </c>
      <c r="AV32" s="255">
        <f>IF($Y32="2X",INDEX($A$47:$N$47,MATCH($W32,$A$46:$N$46,0)),"0")*2</f>
        <v>0</v>
      </c>
      <c r="AW32" s="277">
        <f>IF($V32&gt;1164,$L$49,IF(AND($X32&lt;185,$S32&lt;10),$L$50,IF(AND($X32&lt;185,$S32&gt;=10),$O$50,IF(AND($X32&gt;185,$S32&lt;10),$L$51,IF(AND($X32&gt;185,$S32&gt;=10),$O$51)))))</f>
        <v>5.5</v>
      </c>
      <c r="AX32" s="255" t="str">
        <f t="shared" ref="AX32" si="6">IF(AC32="PLASTICA",(-AW32+$L$52),IF(AND(AC32="SU MISURA TECNOINOX",V32&lt;=864),($L$53+$L$52),IF(AND(AC32="SU MISURA TECNOINOX",V32&lt;=1164),($L$54+$L$52),"0")))</f>
        <v>0</v>
      </c>
      <c r="AY32" s="255">
        <f t="shared" ref="AY32" si="7">IF(S32&lt;&gt;0,IF(AC32="SU MISURA TECNOINOX",-AW32-BA32-BB32),0)</f>
        <v>0</v>
      </c>
      <c r="AZ32" s="374">
        <f>IF(AND($V32&lt;=264),300,IF(AND($V32&gt;=265,$V32&lt;=364),400,IF(AND($V32&gt;=365,$V32&lt;=414),450,IF(AND($V32&gt;=415,$V32&lt;=564),600,IF(AND($V32&gt;=565,$V32&lt;=864),900,IF(AND($V32&gt;=865),1200))))))</f>
        <v>300</v>
      </c>
      <c r="BA32" s="277" t="e">
        <f>IF(OR($AC32="STANDARD",AJ66="X"),"0",INDEX($A$81:$N$89,MATCH($W32,$A$81:$A$89,0),MATCH($AZ32,$A$81:$N$81,0)))</f>
        <v>#N/A</v>
      </c>
      <c r="BB32" s="255" t="e">
        <f>IF(OR($AC32="STANDARD",AJ66="X"),"0",INDEX($A$92:$N$99,MATCH($X32,$A$92:$A$99,0),MATCH($AZ32,$A$92:$N$92,0)))</f>
        <v>#N/A</v>
      </c>
      <c r="BC32" s="277" t="str">
        <f>IF(AJ66="","0",INDEX($A$111:$N$119,MATCH($W32,$A$111:$A$119,0),MATCH($AZ32,$A$111:$N$111,0)))</f>
        <v>0</v>
      </c>
      <c r="BD32" s="277" t="str">
        <f>IF(AJ66="","0",INDEX($A$122:$N$129,MATCH($X32,$A$122:$A$129,0),MATCH($AZ32,$A$122:$N$122,0)))</f>
        <v>0</v>
      </c>
      <c r="BE32" s="255" t="str">
        <f>IFERROR(INDEX($A$59:$N$64,MATCH($W32,$A$59:$A$64,0),MATCH($AA32,$A$59:$N$59,0)),"0")</f>
        <v>0</v>
      </c>
      <c r="BF32" s="255" t="str">
        <f>IFERROR(INDEX($A$68:$I$76,MATCH($W32,$A$68:$A$76,0),MATCH(Z32,$A$68:$I$68,0)),"0")</f>
        <v>0</v>
      </c>
      <c r="BG32" s="253" t="b">
        <f>IF(AL32="X",-AW32)</f>
        <v>0</v>
      </c>
      <c r="BH32" s="252"/>
      <c r="BI32" s="6"/>
      <c r="BJ32" s="6"/>
    </row>
    <row r="33" spans="1:62" ht="15" customHeight="1">
      <c r="A33" s="345" t="s">
        <v>31</v>
      </c>
      <c r="B33" s="346"/>
      <c r="C33" s="346"/>
      <c r="D33" s="346"/>
      <c r="E33" s="346"/>
      <c r="F33" s="346"/>
      <c r="G33" s="346"/>
      <c r="H33" s="347"/>
      <c r="I33" s="332"/>
      <c r="J33" s="333"/>
      <c r="K33" s="343"/>
      <c r="L33" s="332"/>
      <c r="M33" s="333"/>
      <c r="N33" s="334"/>
      <c r="O33" s="302"/>
      <c r="P33" s="296"/>
      <c r="Q33" s="296"/>
      <c r="R33" s="241"/>
      <c r="S33" s="241"/>
      <c r="T33" s="243"/>
      <c r="U33" s="243"/>
      <c r="V33" s="243"/>
      <c r="W33" s="243"/>
      <c r="X33" s="243"/>
      <c r="Y33" s="243"/>
      <c r="Z33" s="259"/>
      <c r="AA33" s="259"/>
      <c r="AB33" s="243"/>
      <c r="AC33" s="271"/>
      <c r="AD33" s="243"/>
      <c r="AE33" s="243"/>
      <c r="AF33" s="243"/>
      <c r="AG33" s="243"/>
      <c r="AH33" s="243"/>
      <c r="AI33" s="243"/>
      <c r="AJ33" s="301"/>
      <c r="AK33" s="301"/>
      <c r="AL33" s="276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77"/>
      <c r="AX33" s="255"/>
      <c r="AY33" s="255"/>
      <c r="AZ33" s="374"/>
      <c r="BA33" s="277"/>
      <c r="BB33" s="255"/>
      <c r="BC33" s="277"/>
      <c r="BD33" s="277"/>
      <c r="BE33" s="255"/>
      <c r="BF33" s="255"/>
      <c r="BG33" s="253"/>
      <c r="BH33" s="252"/>
      <c r="BI33" s="6"/>
      <c r="BJ33" s="6"/>
    </row>
    <row r="34" spans="1:62" ht="15" customHeight="1">
      <c r="A34" s="292">
        <v>94</v>
      </c>
      <c r="B34" s="293"/>
      <c r="C34" s="292">
        <v>126</v>
      </c>
      <c r="D34" s="293"/>
      <c r="E34" s="292">
        <v>186</v>
      </c>
      <c r="F34" s="293"/>
      <c r="G34" s="292">
        <v>218</v>
      </c>
      <c r="H34" s="293"/>
      <c r="I34" s="308"/>
      <c r="J34" s="309"/>
      <c r="K34" s="310"/>
      <c r="L34" s="308"/>
      <c r="M34" s="309"/>
      <c r="N34" s="335"/>
      <c r="O34" s="302" t="str">
        <f>IF(AND(P34="X",Q34="X"),"NO",IF(OR(SUM(X34-U34)&lt;90,SUM(X34-U34)&gt;130),"NO",SUM(X34-U34)))</f>
        <v>NO</v>
      </c>
      <c r="P34" s="295" t="str">
        <f>IF(MODULO!I12="SI","X","")</f>
        <v/>
      </c>
      <c r="Q34" s="295" t="str">
        <f>IF(MODULO!J12="SI","X","")</f>
        <v/>
      </c>
      <c r="R34" s="241" t="s">
        <v>103</v>
      </c>
      <c r="S34" s="241">
        <f>MODULO!B12</f>
        <v>0</v>
      </c>
      <c r="T34" s="243">
        <f>MODULO!C12</f>
        <v>0</v>
      </c>
      <c r="U34" s="243">
        <f>MODULO!D12</f>
        <v>0</v>
      </c>
      <c r="V34" s="243">
        <f>MODULO!E12</f>
        <v>0</v>
      </c>
      <c r="W34" s="243">
        <f>MODULO!F12</f>
        <v>0</v>
      </c>
      <c r="X34" s="243">
        <f>MODULO!G12</f>
        <v>0</v>
      </c>
      <c r="Y34" s="243" t="str">
        <f>IF(MODULO!H12="1R","X",IF(MODULO!H12="2R","2X",""))</f>
        <v/>
      </c>
      <c r="Z34" s="259" t="str">
        <f>IF(P34="","",IF(AND(P34="X",O34=92),O34,"NO"))</f>
        <v/>
      </c>
      <c r="AA34" s="259" t="str">
        <f>IF(Q34="","",IF(AND(W34&gt;395,Q34="X"),O34,"NO"))</f>
        <v/>
      </c>
      <c r="AB34" s="243" t="str">
        <f>IF(MODULO!K12="SI","X","")</f>
        <v/>
      </c>
      <c r="AC34" s="271">
        <f>MODULO!L12</f>
        <v>0</v>
      </c>
      <c r="AD34" s="243">
        <f>MODULO!M12</f>
        <v>0</v>
      </c>
      <c r="AE34" s="243">
        <f>MODULO!N12</f>
        <v>0</v>
      </c>
      <c r="AF34" s="243">
        <f>MODULO!O12</f>
        <v>0</v>
      </c>
      <c r="AG34" s="243">
        <f>MODULO!P12</f>
        <v>0</v>
      </c>
      <c r="AH34" s="243"/>
      <c r="AI34" s="243">
        <f>MODULO!Q12</f>
        <v>0</v>
      </c>
      <c r="AJ34" s="301">
        <f>IF(OR(Z34="NO",AA34="NO",AO34="NO"),"NO",IFERROR(IF(AND(BE34="0",Q34="X",Z34="NO"),"NO",SUM(AM34:AY35,BA34:BH35)),0))</f>
        <v>0</v>
      </c>
      <c r="AK34" s="301"/>
      <c r="AL34" s="275"/>
      <c r="AM34" s="255">
        <f>IF(S34&lt;&gt;0,INDEX($A$6:$I$14,MATCH($W34,$A$6:$A$14,0),MATCH($U34,$A$6:$I$6,0)),0)</f>
        <v>0</v>
      </c>
      <c r="AN34" s="255">
        <f>IF(S34&lt;&gt;0,INDEX($A$18:$N$18,MATCH($X34,$A$17:$M$17,0)),0)</f>
        <v>0</v>
      </c>
      <c r="AO34" s="255">
        <f>IF(S34&lt;&gt;0,INDEX($A$22:$I$30,MATCH($W34,$A$22:$A$30,0),MATCH($AF34,$A$22:$I$22,0)),0)</f>
        <v>0</v>
      </c>
      <c r="AP34" s="255" t="str">
        <f>IF(AND(X34&gt;126,$AB34="X"),INDEX($A$35:$G$35,MATCH($X34,$A$34:$G$34,0))+7,IF(AND(X34&lt;=126,$AB34="X"),INDEX($A$35:$G$35,MATCH($X34,$A$34:$G$34,0))+5,"0"))</f>
        <v>0</v>
      </c>
      <c r="AQ34" s="255" t="str">
        <f>IF($AB34="",("0"),IF(AND($AB34="X",$AZ34&gt;900),$L$39,IF(AND($AB34="X",$AZ34&lt;=900,$AZ34&gt;600),$I$39,IF(AND($AB34="X",$AZ34&lt;=600,$AZ34&gt;450),$G$39,IF(AND($AB34="X",$AZ34&lt;=450,$AZ34&gt;400),$E$39,IF(AND($AB34="X",$AZ34&lt;=400,$AZ34&gt;300),$C$39,IF(AND($AB34="X",$AZ34&lt;=300),$A$39)))))))</f>
        <v>0</v>
      </c>
      <c r="AR34" s="255" t="str">
        <f>IF($AB34="",("0"),IF(AND($AB34="X",$Y34="x",$X34&gt;185,$AZ34&gt;900),$L$43,IF(AND($AB34="X",$Y34="x",$X34&gt;185,$AZ34&lt;=900,$AZ34&gt;600),$I$43,IF(AND($AB34="X",$Y34="x",$X34&gt;185,$AZ34&lt;=600,$AZ34&gt;450),$G$43,IF(AND($AB34="X",$Y34="x",$X34&gt;185,$AZ34&lt;=450,$AZ34&gt;400),$E$43,IF(AND($AB34="X",$Y34="x",$X34&gt;185,$AZ34&lt;=400,$AZ34&gt;300),$C$43,IF(AND($AB34="X",$Y34="x",$X34&gt;185,$AZ34&lt;=300),$A$43)))))))</f>
        <v>0</v>
      </c>
      <c r="AS34" s="255" t="str">
        <f>IF($AB34="",("0"),IF(AND($AB34="X",$P34="x",$X34&gt;185,$AZ34&gt;900),$L$43,IF(AND($AB34="X",$P34="x",$X34&gt;185,$AZ34&lt;=900,$AZ34&gt;600),$I$43,IF(AND($AB34="X",$P34="x",$X34&gt;185,$AZ34&lt;=600,$AZ34&gt;450),$G$43,IF(AND($AB34="X",$P34="x",$X34&gt;185,$AZ34&lt;=450,$AZ34&gt;400),$E$43,IF(AND($AB34="X",$P34="x",$X34&gt;185,$AZ34&lt;=400,$AZ34&gt;300),$C$43,IF(AND($AB34="X",$P34="x",$X34&gt;185,$AZ34&lt;=300),$A$43)))))))</f>
        <v>0</v>
      </c>
      <c r="AT34" s="255" t="str">
        <f>IF($AB34="",("0"),IF(AND($AB34="X",$Q34="x",$X34&gt;185,$AZ34&gt;900),$L$43,IF(AND($AB34="X",$Q34="x",$X34&gt;185,$AZ34&lt;=900,$AZ34&gt;600),$I$43,IF(AND($AB34="X",$Q34="x",$X34&gt;185,$AZ34&lt;=600,$AZ34&gt;450),$G$43,IF(AND($AB34="X",$Q34="x",$X34&gt;185,$AZ34&lt;=450,$AZ34&gt;400),$E$43,IF(AND($AB34="X",$Q34="x",$X34&gt;185,$AZ34&lt;=400,$AZ34&gt;300),$C$43,IF(AND($AB34="X",$Q34="x",$X34&gt;185,$AZ34&lt;=300),$A$43)))))))</f>
        <v>0</v>
      </c>
      <c r="AU34" s="255" t="str">
        <f>IF($Y34="X",INDEX($A$47:$N$47,MATCH($W34,$A$46:$N$46,0)),"0")</f>
        <v>0</v>
      </c>
      <c r="AV34" s="255">
        <f>IF($Y34="2X",INDEX($A$47:$N$47,MATCH($W34,$A$46:$N$46,0)),"0")*2</f>
        <v>0</v>
      </c>
      <c r="AW34" s="277">
        <f>IF($V34&gt;1164,$L$49,IF(AND($X34&lt;185,$S34&lt;10),$L$50,IF(AND($X34&lt;185,$S34&gt;=10),$O$50,IF(AND($X34&gt;185,$S34&lt;10),$L$51,IF(AND($X34&gt;185,$S34&gt;=10),$O$51)))))</f>
        <v>5.5</v>
      </c>
      <c r="AX34" s="255" t="str">
        <f t="shared" ref="AX34" si="8">IF(AC34="PLASTICA",(-AW34+$L$52),IF(AND(AC34="SU MISURA TECNOINOX",V34&lt;=864),($L$53+$L$52),IF(AND(AC34="SU MISURA TECNOINOX",V34&lt;=1164),($L$54+$L$52),"0")))</f>
        <v>0</v>
      </c>
      <c r="AY34" s="255">
        <f t="shared" ref="AY34" si="9">IF(S34&lt;&gt;0,IF(AC34="SU MISURA TECNOINOX",-AW34-BA34-BB34),0)</f>
        <v>0</v>
      </c>
      <c r="AZ34" s="374">
        <f>IF(AND($V34&lt;=264),300,IF(AND($V34&gt;=265,$V34&lt;=364),400,IF(AND($V34&gt;=365,$V34&lt;=414),450,IF(AND($V34&gt;=415,$V34&lt;=564),600,IF(AND($V34&gt;=565,$V34&lt;=864),900,IF(AND($V34&gt;=865),1200))))))</f>
        <v>300</v>
      </c>
      <c r="BA34" s="277" t="e">
        <f>IF(OR($AC34="STANDARD",AJ68="X"),"0",INDEX($A$81:$N$89,MATCH($W34,$A$81:$A$89,0),MATCH($AZ34,$A$81:$N$81,0)))</f>
        <v>#N/A</v>
      </c>
      <c r="BB34" s="255" t="e">
        <f>IF(OR($AC34="STANDARD",AJ68="X"),"0",INDEX($A$92:$N$99,MATCH($X34,$A$92:$A$99,0),MATCH($AZ34,$A$92:$N$92,0)))</f>
        <v>#N/A</v>
      </c>
      <c r="BC34" s="277" t="str">
        <f>IF(AJ68="","0",INDEX($A$111:$N$119,MATCH($W34,$A$111:$A$119,0),MATCH($AZ34,$A$111:$N$111,0)))</f>
        <v>0</v>
      </c>
      <c r="BD34" s="277" t="str">
        <f>IF(AJ68="","0",INDEX($A$122:$N$129,MATCH($X34,$A$122:$A$129,0),MATCH($AZ34,$A$122:$N$122,0)))</f>
        <v>0</v>
      </c>
      <c r="BE34" s="255" t="str">
        <f>IFERROR(INDEX($A$59:$N$64,MATCH($W34,$A$59:$A$64,0),MATCH($AA34,$A$59:$N$59,0)),"0")</f>
        <v>0</v>
      </c>
      <c r="BF34" s="255" t="str">
        <f>IFERROR(INDEX($A$68:$I$76,MATCH($W34,$A$68:$A$76,0),MATCH(Z34,$A$68:$I$68,0)),"0")</f>
        <v>0</v>
      </c>
      <c r="BG34" s="253" t="b">
        <f>IF(AL34="X",-AW34)</f>
        <v>0</v>
      </c>
      <c r="BH34" s="252"/>
      <c r="BI34" s="6"/>
      <c r="BJ34" s="6"/>
    </row>
    <row r="35" spans="1:62" ht="15" customHeight="1">
      <c r="A35" s="283">
        <v>10.458</v>
      </c>
      <c r="B35" s="284"/>
      <c r="C35" s="283">
        <v>12.81</v>
      </c>
      <c r="D35" s="284"/>
      <c r="E35" s="283">
        <v>17.262</v>
      </c>
      <c r="F35" s="284"/>
      <c r="G35" s="283">
        <v>19.635000000000002</v>
      </c>
      <c r="H35" s="284"/>
      <c r="I35" s="336"/>
      <c r="J35" s="303"/>
      <c r="K35" s="293"/>
      <c r="L35" s="336"/>
      <c r="M35" s="337"/>
      <c r="N35" s="338"/>
      <c r="O35" s="302"/>
      <c r="P35" s="296"/>
      <c r="Q35" s="296"/>
      <c r="R35" s="241"/>
      <c r="S35" s="241"/>
      <c r="T35" s="243"/>
      <c r="U35" s="243"/>
      <c r="V35" s="243"/>
      <c r="W35" s="243"/>
      <c r="X35" s="243"/>
      <c r="Y35" s="243"/>
      <c r="Z35" s="259"/>
      <c r="AA35" s="259"/>
      <c r="AB35" s="243"/>
      <c r="AC35" s="271"/>
      <c r="AD35" s="243"/>
      <c r="AE35" s="243"/>
      <c r="AF35" s="243"/>
      <c r="AG35" s="243"/>
      <c r="AH35" s="243"/>
      <c r="AI35" s="243"/>
      <c r="AJ35" s="301"/>
      <c r="AK35" s="301"/>
      <c r="AL35" s="276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77"/>
      <c r="AX35" s="255"/>
      <c r="AY35" s="255"/>
      <c r="AZ35" s="374"/>
      <c r="BA35" s="277"/>
      <c r="BB35" s="255"/>
      <c r="BC35" s="277"/>
      <c r="BD35" s="277"/>
      <c r="BE35" s="255"/>
      <c r="BF35" s="255"/>
      <c r="BG35" s="253"/>
      <c r="BH35" s="252"/>
      <c r="BI35" s="6"/>
      <c r="BJ35" s="6"/>
    </row>
    <row r="36" spans="1:62" ht="15" customHeight="1">
      <c r="A36" s="163"/>
      <c r="B36" s="163"/>
      <c r="C36" s="163"/>
      <c r="D36" s="163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302" t="str">
        <f>IF(AND(P36="X",Q36="X"),"NO",IF(OR(SUM(X36-U36)&lt;90,SUM(X36-U36)&gt;130),"NO",SUM(X36-U36)))</f>
        <v>NO</v>
      </c>
      <c r="P36" s="295" t="str">
        <f>IF(MODULO!I13="SI","X","")</f>
        <v/>
      </c>
      <c r="Q36" s="295" t="str">
        <f>IF(MODULO!J13="SI","X","")</f>
        <v/>
      </c>
      <c r="R36" s="241" t="s">
        <v>104</v>
      </c>
      <c r="S36" s="241">
        <f>MODULO!B13</f>
        <v>0</v>
      </c>
      <c r="T36" s="243">
        <f>MODULO!C13</f>
        <v>0</v>
      </c>
      <c r="U36" s="243">
        <f>MODULO!D13</f>
        <v>0</v>
      </c>
      <c r="V36" s="243">
        <f>MODULO!E13</f>
        <v>0</v>
      </c>
      <c r="W36" s="243">
        <f>MODULO!F13</f>
        <v>0</v>
      </c>
      <c r="X36" s="243">
        <f>MODULO!G13</f>
        <v>0</v>
      </c>
      <c r="Y36" s="243" t="str">
        <f>IF(MODULO!H13="1R","X",IF(MODULO!H13="2R","2X",""))</f>
        <v/>
      </c>
      <c r="Z36" s="259" t="str">
        <f>IF(P36="","",IF(AND(P36="X",O36=92),O36,"NO"))</f>
        <v/>
      </c>
      <c r="AA36" s="259" t="str">
        <f>IF(Q36="","",IF(AND(W36&gt;395,Q36="X"),O36,"NO"))</f>
        <v/>
      </c>
      <c r="AB36" s="243" t="str">
        <f>IF(MODULO!K13="SI","X","")</f>
        <v/>
      </c>
      <c r="AC36" s="271">
        <f>MODULO!L13</f>
        <v>0</v>
      </c>
      <c r="AD36" s="243">
        <f>MODULO!M13</f>
        <v>0</v>
      </c>
      <c r="AE36" s="243">
        <f>MODULO!N13</f>
        <v>0</v>
      </c>
      <c r="AF36" s="243">
        <f>MODULO!O13</f>
        <v>0</v>
      </c>
      <c r="AG36" s="243">
        <f>MODULO!P13</f>
        <v>0</v>
      </c>
      <c r="AH36" s="243"/>
      <c r="AI36" s="243">
        <f>MODULO!Q13</f>
        <v>0</v>
      </c>
      <c r="AJ36" s="301">
        <f>IF(OR(Z36="NO",AA36="NO",AO36="NO"),"NO",IFERROR(IF(AND(BE36="0",Q36="X",Z36="NO"),"NO",SUM(AM36:AY37,BA36:BH37)),0))</f>
        <v>0</v>
      </c>
      <c r="AK36" s="301"/>
      <c r="AL36" s="275"/>
      <c r="AM36" s="255">
        <f>IF(S36&lt;&gt;0,INDEX($A$6:$I$14,MATCH($W36,$A$6:$A$14,0),MATCH($U36,$A$6:$I$6,0)),0)</f>
        <v>0</v>
      </c>
      <c r="AN36" s="255">
        <f>IF(S36&lt;&gt;0,INDEX($A$18:$N$18,MATCH($X36,$A$17:$M$17,0)),0)</f>
        <v>0</v>
      </c>
      <c r="AO36" s="255">
        <f>IF(S36&lt;&gt;0,INDEX($A$22:$I$30,MATCH($W36,$A$22:$A$30,0),MATCH($AF36,$A$22:$I$22,0)),0)</f>
        <v>0</v>
      </c>
      <c r="AP36" s="255" t="str">
        <f>IF(AND(X36&gt;126,$AB36="X"),INDEX($A$35:$G$35,MATCH($X36,$A$34:$G$34,0))+7,IF(AND(X36&lt;=126,$AB36="X"),INDEX($A$35:$G$35,MATCH($X36,$A$34:$G$34,0))+5,"0"))</f>
        <v>0</v>
      </c>
      <c r="AQ36" s="255" t="str">
        <f>IF($AB36="",("0"),IF(AND($AB36="X",$AZ36&gt;900),$L$39,IF(AND($AB36="X",$AZ36&lt;=900,$AZ36&gt;600),$I$39,IF(AND($AB36="X",$AZ36&lt;=600,$AZ36&gt;450),$G$39,IF(AND($AB36="X",$AZ36&lt;=450,$AZ36&gt;400),$E$39,IF(AND($AB36="X",$AZ36&lt;=400,$AZ36&gt;300),$C$39,IF(AND($AB36="X",$AZ36&lt;=300),$A$39)))))))</f>
        <v>0</v>
      </c>
      <c r="AR36" s="255" t="str">
        <f>IF($AB36="",("0"),IF(AND($AB36="X",$Y36="x",$X36&gt;185,$AZ36&gt;900),$L$43,IF(AND($AB36="X",$Y36="x",$X36&gt;185,$AZ36&lt;=900,$AZ36&gt;600),$I$43,IF(AND($AB36="X",$Y36="x",$X36&gt;185,$AZ36&lt;=600,$AZ36&gt;450),$G$43,IF(AND($AB36="X",$Y36="x",$X36&gt;185,$AZ36&lt;=450,$AZ36&gt;400),$E$43,IF(AND($AB36="X",$Y36="x",$X36&gt;185,$AZ36&lt;=400,$AZ36&gt;300),$C$43,IF(AND($AB36="X",$Y36="x",$X36&gt;185,$AZ36&lt;=300),$A$43)))))))</f>
        <v>0</v>
      </c>
      <c r="AS36" s="255" t="str">
        <f>IF($AB36="",("0"),IF(AND($AB36="X",$P36="x",$X36&gt;185,$AZ36&gt;900),$L$43,IF(AND($AB36="X",$P36="x",$X36&gt;185,$AZ36&lt;=900,$AZ36&gt;600),$I$43,IF(AND($AB36="X",$P36="x",$X36&gt;185,$AZ36&lt;=600,$AZ36&gt;450),$G$43,IF(AND($AB36="X",$P36="x",$X36&gt;185,$AZ36&lt;=450,$AZ36&gt;400),$E$43,IF(AND($AB36="X",$P36="x",$X36&gt;185,$AZ36&lt;=400,$AZ36&gt;300),$C$43,IF(AND($AB36="X",$P36="x",$X36&gt;185,$AZ36&lt;=300),$A$43)))))))</f>
        <v>0</v>
      </c>
      <c r="AT36" s="255" t="str">
        <f>IF($AB36="",("0"),IF(AND($AB36="X",$Q36="x",$X36&gt;185,$AZ36&gt;900),$L$43,IF(AND($AB36="X",$Q36="x",$X36&gt;185,$AZ36&lt;=900,$AZ36&gt;600),$I$43,IF(AND($AB36="X",$Q36="x",$X36&gt;185,$AZ36&lt;=600,$AZ36&gt;450),$G$43,IF(AND($AB36="X",$Q36="x",$X36&gt;185,$AZ36&lt;=450,$AZ36&gt;400),$E$43,IF(AND($AB36="X",$Q36="x",$X36&gt;185,$AZ36&lt;=400,$AZ36&gt;300),$C$43,IF(AND($AB36="X",$Q36="x",$X36&gt;185,$AZ36&lt;=300),$A$43)))))))</f>
        <v>0</v>
      </c>
      <c r="AU36" s="255" t="str">
        <f>IF($Y36="X",INDEX($A$47:$N$47,MATCH($W36,$A$46:$N$46,0)),"0")</f>
        <v>0</v>
      </c>
      <c r="AV36" s="255">
        <f>IF($Y36="2X",INDEX($A$47:$N$47,MATCH($W36,$A$46:$N$46,0)),"0")*2</f>
        <v>0</v>
      </c>
      <c r="AW36" s="277">
        <f>IF($V36&gt;1164,$L$49,IF(AND($X36&lt;185,$S36&lt;10),$L$50,IF(AND($X36&lt;185,$S36&gt;=10),$O$50,IF(AND($X36&gt;185,$S36&lt;10),$L$51,IF(AND($X36&gt;185,$S36&gt;=10),$O$51)))))</f>
        <v>5.5</v>
      </c>
      <c r="AX36" s="255" t="str">
        <f t="shared" ref="AX36" si="10">IF(AC36="PLASTICA",(-AW36+$L$52),IF(AND(AC36="SU MISURA TECNOINOX",V36&lt;=864),($L$53+$L$52),IF(AND(AC36="SU MISURA TECNOINOX",V36&lt;=1164),($L$54+$L$52),"0")))</f>
        <v>0</v>
      </c>
      <c r="AY36" s="255">
        <f t="shared" ref="AY36" si="11">IF(S36&lt;&gt;0,IF(AC36="SU MISURA TECNOINOX",-AW36-BA36-BB36),0)</f>
        <v>0</v>
      </c>
      <c r="AZ36" s="374">
        <f>IF(AND($V36&lt;=264),300,IF(AND($V36&gt;=265,$V36&lt;=364),400,IF(AND($V36&gt;=365,$V36&lt;=414),450,IF(AND($V36&gt;=415,$V36&lt;=564),600,IF(AND($V36&gt;=565,$V36&lt;=864),900,IF(AND($V36&gt;=865),1200))))))</f>
        <v>300</v>
      </c>
      <c r="BA36" s="277" t="e">
        <f>IF(OR($AC36="STANDARD",AJ70="X"),"0",INDEX($A$81:$N$89,MATCH($W36,$A$81:$A$89,0),MATCH($AZ36,$A$81:$N$81,0)))</f>
        <v>#N/A</v>
      </c>
      <c r="BB36" s="255" t="e">
        <f>IF(OR($AC36="STANDARD",AJ70="X"),"0",INDEX($A$92:$N$99,MATCH($X36,$A$92:$A$99,0),MATCH($AZ36,$A$92:$N$92,0)))</f>
        <v>#N/A</v>
      </c>
      <c r="BC36" s="277" t="str">
        <f>IF(AJ70="","0",INDEX($A$111:$N$119,MATCH($W36,$A$111:$A$119,0),MATCH($AZ36,$A$111:$N$111,0)))</f>
        <v>0</v>
      </c>
      <c r="BD36" s="277" t="str">
        <f>IF(AJ70="","0",INDEX($A$122:$N$129,MATCH($X36,$A$122:$A$129,0),MATCH($AZ36,$A$122:$N$122,0)))</f>
        <v>0</v>
      </c>
      <c r="BE36" s="255" t="str">
        <f>IFERROR(INDEX($A$59:$N$64,MATCH($W36,$A$59:$A$64,0),MATCH($AA36,$A$59:$N$59,0)),"0")</f>
        <v>0</v>
      </c>
      <c r="BF36" s="255" t="str">
        <f>IFERROR(INDEX($A$68:$I$76,MATCH($W36,$A$68:$A$76,0),MATCH(Z36,$A$68:$I$68,0)),"0")</f>
        <v>0</v>
      </c>
      <c r="BG36" s="253" t="b">
        <f>IF(AL36="X",-AW36)</f>
        <v>0</v>
      </c>
      <c r="BH36" s="252"/>
      <c r="BI36" s="6"/>
      <c r="BJ36" s="6"/>
    </row>
    <row r="37" spans="1:62" ht="15" customHeight="1">
      <c r="A37" s="340" t="s">
        <v>32</v>
      </c>
      <c r="B37" s="341"/>
      <c r="C37" s="341"/>
      <c r="D37" s="341"/>
      <c r="E37" s="341"/>
      <c r="F37" s="341"/>
      <c r="G37" s="341"/>
      <c r="H37" s="341"/>
      <c r="I37" s="341"/>
      <c r="J37" s="341"/>
      <c r="K37" s="341"/>
      <c r="L37" s="341"/>
      <c r="M37" s="341"/>
      <c r="N37" s="342"/>
      <c r="O37" s="302"/>
      <c r="P37" s="296"/>
      <c r="Q37" s="296"/>
      <c r="R37" s="241"/>
      <c r="S37" s="241"/>
      <c r="T37" s="243"/>
      <c r="U37" s="243"/>
      <c r="V37" s="243"/>
      <c r="W37" s="243"/>
      <c r="X37" s="243"/>
      <c r="Y37" s="243"/>
      <c r="Z37" s="259"/>
      <c r="AA37" s="259"/>
      <c r="AB37" s="243"/>
      <c r="AC37" s="271"/>
      <c r="AD37" s="243"/>
      <c r="AE37" s="243"/>
      <c r="AF37" s="243"/>
      <c r="AG37" s="243"/>
      <c r="AH37" s="243"/>
      <c r="AI37" s="243"/>
      <c r="AJ37" s="301"/>
      <c r="AK37" s="301"/>
      <c r="AL37" s="276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77"/>
      <c r="AX37" s="255"/>
      <c r="AY37" s="255"/>
      <c r="AZ37" s="374"/>
      <c r="BA37" s="277"/>
      <c r="BB37" s="255"/>
      <c r="BC37" s="277"/>
      <c r="BD37" s="277"/>
      <c r="BE37" s="255"/>
      <c r="BF37" s="255"/>
      <c r="BG37" s="253"/>
      <c r="BH37" s="252"/>
      <c r="BI37" s="6"/>
      <c r="BJ37" s="6"/>
    </row>
    <row r="38" spans="1:62" ht="15" customHeight="1">
      <c r="A38" s="292">
        <v>300</v>
      </c>
      <c r="B38" s="293"/>
      <c r="C38" s="292">
        <v>400</v>
      </c>
      <c r="D38" s="293"/>
      <c r="E38" s="292">
        <v>450</v>
      </c>
      <c r="F38" s="293"/>
      <c r="G38" s="292">
        <v>600</v>
      </c>
      <c r="H38" s="293"/>
      <c r="I38" s="308">
        <v>900</v>
      </c>
      <c r="J38" s="309"/>
      <c r="K38" s="310"/>
      <c r="L38" s="308">
        <v>1200</v>
      </c>
      <c r="M38" s="309"/>
      <c r="N38" s="335"/>
      <c r="O38" s="302" t="str">
        <f>IF(AND(P38="X",Q38="X"),"NO",IF(OR(SUM(X38-U38)&lt;90,SUM(X38-U38)&gt;130),"NO",SUM(X38-U38)))</f>
        <v>NO</v>
      </c>
      <c r="P38" s="295" t="str">
        <f>IF(MODULO!I14="SI","X","")</f>
        <v/>
      </c>
      <c r="Q38" s="295" t="str">
        <f>IF(MODULO!J14="SI","X","")</f>
        <v/>
      </c>
      <c r="R38" s="241" t="s">
        <v>9</v>
      </c>
      <c r="S38" s="241">
        <f>MODULO!B14</f>
        <v>0</v>
      </c>
      <c r="T38" s="243">
        <f>MODULO!C14</f>
        <v>0</v>
      </c>
      <c r="U38" s="243">
        <f>MODULO!D14</f>
        <v>0</v>
      </c>
      <c r="V38" s="243">
        <f>MODULO!E14</f>
        <v>0</v>
      </c>
      <c r="W38" s="243">
        <f>MODULO!F14</f>
        <v>0</v>
      </c>
      <c r="X38" s="243">
        <f>MODULO!G14</f>
        <v>0</v>
      </c>
      <c r="Y38" s="243" t="str">
        <f>IF(MODULO!H14="1R","X",IF(MODULO!H14="2R","2X",""))</f>
        <v/>
      </c>
      <c r="Z38" s="259" t="str">
        <f>IF(P38="","",IF(AND(P38="X",O38=92),O38,"NO"))</f>
        <v/>
      </c>
      <c r="AA38" s="259" t="str">
        <f>IF(Q38="","",IF(AND(W38&gt;395,Q38="X"),O38,"NO"))</f>
        <v/>
      </c>
      <c r="AB38" s="243" t="str">
        <f>IF(MODULO!K14="SI","X","")</f>
        <v/>
      </c>
      <c r="AC38" s="271">
        <f>MODULO!L14</f>
        <v>0</v>
      </c>
      <c r="AD38" s="243">
        <f>MODULO!M14</f>
        <v>0</v>
      </c>
      <c r="AE38" s="243">
        <f>MODULO!N14</f>
        <v>0</v>
      </c>
      <c r="AF38" s="243">
        <f>MODULO!O14</f>
        <v>0</v>
      </c>
      <c r="AG38" s="243">
        <f>MODULO!P14</f>
        <v>0</v>
      </c>
      <c r="AH38" s="243"/>
      <c r="AI38" s="243">
        <f>MODULO!Q14</f>
        <v>0</v>
      </c>
      <c r="AJ38" s="301">
        <f>IF(OR(Z38="NO",AA38="NO",AO38="NO"),"NO",IFERROR(IF(AND(BE38="0",Q38="X",Z38="NO"),"NO",SUM(AM38:AY39,BA38:BH39)),0))</f>
        <v>0</v>
      </c>
      <c r="AK38" s="301"/>
      <c r="AL38" s="275"/>
      <c r="AM38" s="255">
        <f>IF(S38&lt;&gt;0,INDEX($A$6:$I$14,MATCH($W38,$A$6:$A$14,0),MATCH($U38,$A$6:$I$6,0)),0)</f>
        <v>0</v>
      </c>
      <c r="AN38" s="255">
        <f>IF(S38&lt;&gt;0,INDEX($A$18:$N$18,MATCH($X38,$A$17:$M$17,0)),0)</f>
        <v>0</v>
      </c>
      <c r="AO38" s="255">
        <f>IF(S38&lt;&gt;0,INDEX($A$22:$I$30,MATCH($W38,$A$22:$A$30,0),MATCH($AF38,$A$22:$I$22,0)),0)</f>
        <v>0</v>
      </c>
      <c r="AP38" s="255" t="str">
        <f>IF(AND(X38&gt;126,$AB38="X"),INDEX($A$35:$G$35,MATCH($X38,$A$34:$G$34,0))+7,IF(AND(X38&lt;=126,$AB38="X"),INDEX($A$35:$G$35,MATCH($X38,$A$34:$G$34,0))+5,"0"))</f>
        <v>0</v>
      </c>
      <c r="AQ38" s="255" t="str">
        <f>IF($AB38="",("0"),IF(AND($AB38="X",$AZ38&gt;900),$L$39,IF(AND($AB38="X",$AZ38&lt;=900,$AZ38&gt;600),$I$39,IF(AND($AB38="X",$AZ38&lt;=600,$AZ38&gt;450),$G$39,IF(AND($AB38="X",$AZ38&lt;=450,$AZ38&gt;400),$E$39,IF(AND($AB38="X",$AZ38&lt;=400,$AZ38&gt;300),$C$39,IF(AND($AB38="X",$AZ38&lt;=300),$A$39)))))))</f>
        <v>0</v>
      </c>
      <c r="AR38" s="255" t="str">
        <f>IF($AB38="",("0"),IF(AND($AB38="X",$Y38="x",$X38&gt;185,$AZ38&gt;900),$L$43,IF(AND($AB38="X",$Y38="x",$X38&gt;185,$AZ38&lt;=900,$AZ38&gt;600),$I$43,IF(AND($AB38="X",$Y38="x",$X38&gt;185,$AZ38&lt;=600,$AZ38&gt;450),$G$43,IF(AND($AB38="X",$Y38="x",$X38&gt;185,$AZ38&lt;=450,$AZ38&gt;400),$E$43,IF(AND($AB38="X",$Y38="x",$X38&gt;185,$AZ38&lt;=400,$AZ38&gt;300),$C$43,IF(AND($AB38="X",$Y38="x",$X38&gt;185,$AZ38&lt;=300),$A$43)))))))</f>
        <v>0</v>
      </c>
      <c r="AS38" s="255" t="str">
        <f>IF($AB38="",("0"),IF(AND($AB38="X",$P38="x",$X38&gt;185,$AZ38&gt;900),$L$43,IF(AND($AB38="X",$P38="x",$X38&gt;185,$AZ38&lt;=900,$AZ38&gt;600),$I$43,IF(AND($AB38="X",$P38="x",$X38&gt;185,$AZ38&lt;=600,$AZ38&gt;450),$G$43,IF(AND($AB38="X",$P38="x",$X38&gt;185,$AZ38&lt;=450,$AZ38&gt;400),$E$43,IF(AND($AB38="X",$P38="x",$X38&gt;185,$AZ38&lt;=400,$AZ38&gt;300),$C$43,IF(AND($AB38="X",$P38="x",$X38&gt;185,$AZ38&lt;=300),$A$43)))))))</f>
        <v>0</v>
      </c>
      <c r="AT38" s="255" t="str">
        <f>IF($AB38="",("0"),IF(AND($AB38="X",$Q38="x",$X38&gt;185,$AZ38&gt;900),$L$43,IF(AND($AB38="X",$Q38="x",$X38&gt;185,$AZ38&lt;=900,$AZ38&gt;600),$I$43,IF(AND($AB38="X",$Q38="x",$X38&gt;185,$AZ38&lt;=600,$AZ38&gt;450),$G$43,IF(AND($AB38="X",$Q38="x",$X38&gt;185,$AZ38&lt;=450,$AZ38&gt;400),$E$43,IF(AND($AB38="X",$Q38="x",$X38&gt;185,$AZ38&lt;=400,$AZ38&gt;300),$C$43,IF(AND($AB38="X",$Q38="x",$X38&gt;185,$AZ38&lt;=300),$A$43)))))))</f>
        <v>0</v>
      </c>
      <c r="AU38" s="255" t="str">
        <f>IF($Y38="X",INDEX($A$47:$N$47,MATCH($W38,$A$46:$N$46,0)),"0")</f>
        <v>0</v>
      </c>
      <c r="AV38" s="255">
        <f>IF($Y38="2X",INDEX($A$47:$N$47,MATCH($W38,$A$46:$N$46,0)),"0")*2</f>
        <v>0</v>
      </c>
      <c r="AW38" s="277">
        <f>IF($V38&gt;1164,$L$49,IF(AND($X38&lt;185,$S38&lt;10),$L$50,IF(AND($X38&lt;185,$S38&gt;=10),$O$50,IF(AND($X38&gt;185,$S38&lt;10),$L$51,IF(AND($X38&gt;185,$S38&gt;=10),$O$51)))))</f>
        <v>5.5</v>
      </c>
      <c r="AX38" s="255" t="str">
        <f t="shared" ref="AX38" si="12">IF(AC38="PLASTICA",(-AW38+$L$52),IF(AND(AC38="SU MISURA TECNOINOX",V38&lt;=864),($L$53+$L$52),IF(AND(AC38="SU MISURA TECNOINOX",V38&lt;=1164),($L$54+$L$52),"0")))</f>
        <v>0</v>
      </c>
      <c r="AY38" s="255">
        <f t="shared" ref="AY38" si="13">IF(S38&lt;&gt;0,IF(AC38="SU MISURA TECNOINOX",-AW38-BA38-BB38),0)</f>
        <v>0</v>
      </c>
      <c r="AZ38" s="374">
        <f>IF(AND($V38&lt;=264),300,IF(AND($V38&gt;=265,$V38&lt;=364),400,IF(AND($V38&gt;=365,$V38&lt;=414),450,IF(AND($V38&gt;=415,$V38&lt;=564),600,IF(AND($V38&gt;=565,$V38&lt;=864),900,IF(AND($V38&gt;=865),1200))))))</f>
        <v>300</v>
      </c>
      <c r="BA38" s="277" t="e">
        <f>IF(OR($AC38="STANDARD",AJ72="X"),"0",INDEX($A$81:$N$89,MATCH($W38,$A$81:$A$89,0),MATCH($AZ38,$A$81:$N$81,0)))</f>
        <v>#N/A</v>
      </c>
      <c r="BB38" s="255" t="e">
        <f>IF(OR($AC38="STANDARD",AJ72="X"),"0",INDEX($A$92:$N$99,MATCH($X38,$A$92:$A$99,0),MATCH($AZ38,$A$92:$N$92,0)))</f>
        <v>#N/A</v>
      </c>
      <c r="BC38" s="277" t="str">
        <f>IF(AJ72="","0",INDEX($A$111:$N$119,MATCH($W38,$A$111:$A$119,0),MATCH($AZ38,$A$111:$N$111,0)))</f>
        <v>0</v>
      </c>
      <c r="BD38" s="277" t="str">
        <f>IF(AJ72="","0",INDEX($A$122:$N$129,MATCH($X38,$A$122:$A$129,0),MATCH($AZ38,$A$122:$N$122,0)))</f>
        <v>0</v>
      </c>
      <c r="BE38" s="255" t="str">
        <f>IFERROR(INDEX($A$59:$N$64,MATCH($W38,$A$59:$A$64,0),MATCH($AA38,$A$59:$N$59,0)),"0")</f>
        <v>0</v>
      </c>
      <c r="BF38" s="255" t="str">
        <f>IFERROR(INDEX($A$68:$I$76,MATCH($W38,$A$68:$A$76,0),MATCH(Z38,$A$68:$I$68,0)),"0")</f>
        <v>0</v>
      </c>
      <c r="BG38" s="253" t="b">
        <f>IF(AL38="X",-AW38)</f>
        <v>0</v>
      </c>
      <c r="BH38" s="252"/>
      <c r="BI38" s="6"/>
      <c r="BJ38" s="6"/>
    </row>
    <row r="39" spans="1:62" ht="15" customHeight="1">
      <c r="A39" s="304">
        <v>4.95</v>
      </c>
      <c r="B39" s="305"/>
      <c r="C39" s="304">
        <v>6.6</v>
      </c>
      <c r="D39" s="305"/>
      <c r="E39" s="304">
        <v>7.43</v>
      </c>
      <c r="F39" s="305"/>
      <c r="G39" s="304">
        <v>9.91</v>
      </c>
      <c r="H39" s="305"/>
      <c r="I39" s="304">
        <v>14.86</v>
      </c>
      <c r="J39" s="306"/>
      <c r="K39" s="305"/>
      <c r="L39" s="304">
        <v>19.82</v>
      </c>
      <c r="M39" s="306"/>
      <c r="N39" s="307"/>
      <c r="O39" s="302"/>
      <c r="P39" s="296"/>
      <c r="Q39" s="296"/>
      <c r="R39" s="241"/>
      <c r="S39" s="241"/>
      <c r="T39" s="243"/>
      <c r="U39" s="243"/>
      <c r="V39" s="243"/>
      <c r="W39" s="243"/>
      <c r="X39" s="243"/>
      <c r="Y39" s="243"/>
      <c r="Z39" s="259"/>
      <c r="AA39" s="259"/>
      <c r="AB39" s="243"/>
      <c r="AC39" s="271"/>
      <c r="AD39" s="243"/>
      <c r="AE39" s="243"/>
      <c r="AF39" s="243"/>
      <c r="AG39" s="243"/>
      <c r="AH39" s="243"/>
      <c r="AI39" s="243"/>
      <c r="AJ39" s="301"/>
      <c r="AK39" s="301"/>
      <c r="AL39" s="276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77"/>
      <c r="AX39" s="255"/>
      <c r="AY39" s="255"/>
      <c r="AZ39" s="374"/>
      <c r="BA39" s="277"/>
      <c r="BB39" s="255"/>
      <c r="BC39" s="277"/>
      <c r="BD39" s="277"/>
      <c r="BE39" s="255"/>
      <c r="BF39" s="255"/>
      <c r="BG39" s="253"/>
      <c r="BH39" s="252"/>
      <c r="BI39" s="6"/>
      <c r="BJ39" s="6"/>
    </row>
    <row r="40" spans="1:62" ht="15" customHeight="1">
      <c r="A40" s="163"/>
      <c r="B40" s="163"/>
      <c r="C40" s="163"/>
      <c r="D40" s="163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302" t="str">
        <f>IF(AND(P40="X",Q40="X"),"NO",IF(OR(SUM(X40-U40)&lt;90,SUM(X40-U40)&gt;130),"NO",SUM(X40-U40)))</f>
        <v>NO</v>
      </c>
      <c r="P40" s="295" t="str">
        <f>IF(MODULO!I15="SI","X","")</f>
        <v/>
      </c>
      <c r="Q40" s="295" t="str">
        <f>IF(MODULO!J15="SI","X","")</f>
        <v/>
      </c>
      <c r="R40" s="241" t="s">
        <v>105</v>
      </c>
      <c r="S40" s="241">
        <f>MODULO!B15</f>
        <v>0</v>
      </c>
      <c r="T40" s="243">
        <f>MODULO!C15</f>
        <v>0</v>
      </c>
      <c r="U40" s="243">
        <f>MODULO!D15</f>
        <v>0</v>
      </c>
      <c r="V40" s="243">
        <f>MODULO!E15</f>
        <v>0</v>
      </c>
      <c r="W40" s="243">
        <f>MODULO!F15</f>
        <v>0</v>
      </c>
      <c r="X40" s="243">
        <f>MODULO!G15</f>
        <v>0</v>
      </c>
      <c r="Y40" s="243" t="str">
        <f>IF(MODULO!H15="1R","X",IF(MODULO!H15="2R","2X",""))</f>
        <v/>
      </c>
      <c r="Z40" s="259" t="str">
        <f>IF(P40="","",IF(AND(P40="X",O40=92),O40,"NO"))</f>
        <v/>
      </c>
      <c r="AA40" s="259" t="str">
        <f>IF(Q40="","",IF(AND(W40&gt;395,Q40="X"),O40,"NO"))</f>
        <v/>
      </c>
      <c r="AB40" s="243" t="str">
        <f>IF(MODULO!K15="SI","X","")</f>
        <v/>
      </c>
      <c r="AC40" s="271">
        <f>MODULO!L15</f>
        <v>0</v>
      </c>
      <c r="AD40" s="243">
        <f>MODULO!M15</f>
        <v>0</v>
      </c>
      <c r="AE40" s="243">
        <f>MODULO!N15</f>
        <v>0</v>
      </c>
      <c r="AF40" s="243">
        <f>MODULO!O15</f>
        <v>0</v>
      </c>
      <c r="AG40" s="243">
        <f>MODULO!P15</f>
        <v>0</v>
      </c>
      <c r="AH40" s="243"/>
      <c r="AI40" s="243">
        <f>MODULO!Q15</f>
        <v>0</v>
      </c>
      <c r="AJ40" s="301">
        <f>IF(OR(Z40="NO",AA40="NO",AO40="NO"),"NO",IFERROR(IF(AND(BE40="0",Q40="X",Z40="NO"),"NO",SUM(AM40:AY41,BA40:BH41)),0))</f>
        <v>0</v>
      </c>
      <c r="AK40" s="301"/>
      <c r="AL40" s="275"/>
      <c r="AM40" s="255">
        <f>IF(S40&lt;&gt;0,INDEX($A$6:$I$14,MATCH($W40,$A$6:$A$14,0),MATCH($U40,$A$6:$I$6,0)),0)</f>
        <v>0</v>
      </c>
      <c r="AN40" s="255">
        <f>IF(S40&lt;&gt;0,INDEX($A$18:$N$18,MATCH($X40,$A$17:$M$17,0)),0)</f>
        <v>0</v>
      </c>
      <c r="AO40" s="255">
        <f>IF(S40&lt;&gt;0,INDEX($A$22:$I$30,MATCH($W40,$A$22:$A$30,0),MATCH($AF40,$A$22:$I$22,0)),0)</f>
        <v>0</v>
      </c>
      <c r="AP40" s="255" t="str">
        <f>IF(AND(X40&gt;126,$AB40="X"),INDEX($A$35:$G$35,MATCH($X40,$A$34:$G$34,0))+7,IF(AND(X40&lt;=126,$AB40="X"),INDEX($A$35:$G$35,MATCH($X40,$A$34:$G$34,0))+5,"0"))</f>
        <v>0</v>
      </c>
      <c r="AQ40" s="255" t="str">
        <f>IF($AB40="",("0"),IF(AND($AB40="X",$AZ40&gt;900),$L$39,IF(AND($AB40="X",$AZ40&lt;=900,$AZ40&gt;600),$I$39,IF(AND($AB40="X",$AZ40&lt;=600,$AZ40&gt;450),$G$39,IF(AND($AB40="X",$AZ40&lt;=450,$AZ40&gt;400),$E$39,IF(AND($AB40="X",$AZ40&lt;=400,$AZ40&gt;300),$C$39,IF(AND($AB40="X",$AZ40&lt;=300),$A$39)))))))</f>
        <v>0</v>
      </c>
      <c r="AR40" s="255" t="str">
        <f>IF($AB40="",("0"),IF(AND($AB40="X",$Y40="x",$X40&gt;185,$AZ40&gt;900),$L$43,IF(AND($AB40="X",$Y40="x",$X40&gt;185,$AZ40&lt;=900,$AZ40&gt;600),$I$43,IF(AND($AB40="X",$Y40="x",$X40&gt;185,$AZ40&lt;=600,$AZ40&gt;450),$G$43,IF(AND($AB40="X",$Y40="x",$X40&gt;185,$AZ40&lt;=450,$AZ40&gt;400),$E$43,IF(AND($AB40="X",$Y40="x",$X40&gt;185,$AZ40&lt;=400,$AZ40&gt;300),$C$43,IF(AND($AB40="X",$Y40="x",$X40&gt;185,$AZ40&lt;=300),$A$43)))))))</f>
        <v>0</v>
      </c>
      <c r="AS40" s="255" t="str">
        <f>IF($AB40="",("0"),IF(AND($AB40="X",$P40="x",$X40&gt;185,$AZ40&gt;900),$L$43,IF(AND($AB40="X",$P40="x",$X40&gt;185,$AZ40&lt;=900,$AZ40&gt;600),$I$43,IF(AND($AB40="X",$P40="x",$X40&gt;185,$AZ40&lt;=600,$AZ40&gt;450),$G$43,IF(AND($AB40="X",$P40="x",$X40&gt;185,$AZ40&lt;=450,$AZ40&gt;400),$E$43,IF(AND($AB40="X",$P40="x",$X40&gt;185,$AZ40&lt;=400,$AZ40&gt;300),$C$43,IF(AND($AB40="X",$P40="x",$X40&gt;185,$AZ40&lt;=300),$A$43)))))))</f>
        <v>0</v>
      </c>
      <c r="AT40" s="255" t="str">
        <f>IF($AB40="",("0"),IF(AND($AB40="X",$Q40="x",$X40&gt;185,$AZ40&gt;900),$L$43,IF(AND($AB40="X",$Q40="x",$X40&gt;185,$AZ40&lt;=900,$AZ40&gt;600),$I$43,IF(AND($AB40="X",$Q40="x",$X40&gt;185,$AZ40&lt;=600,$AZ40&gt;450),$G$43,IF(AND($AB40="X",$Q40="x",$X40&gt;185,$AZ40&lt;=450,$AZ40&gt;400),$E$43,IF(AND($AB40="X",$Q40="x",$X40&gt;185,$AZ40&lt;=400,$AZ40&gt;300),$C$43,IF(AND($AB40="X",$Q40="x",$X40&gt;185,$AZ40&lt;=300),$A$43)))))))</f>
        <v>0</v>
      </c>
      <c r="AU40" s="255" t="str">
        <f>IF($Y40="X",INDEX($A$47:$N$47,MATCH($W40,$A$46:$N$46,0)),"0")</f>
        <v>0</v>
      </c>
      <c r="AV40" s="255">
        <f>IF($Y40="2X",INDEX($A$47:$N$47,MATCH($W40,$A$46:$N$46,0)),"0")*2</f>
        <v>0</v>
      </c>
      <c r="AW40" s="277">
        <f>IF($V40&gt;1164,$L$49,IF(AND($X40&lt;185,$S40&lt;10),$L$50,IF(AND($X40&lt;185,$S40&gt;=10),$O$50,IF(AND($X40&gt;185,$S40&lt;10),$L$51,IF(AND($X40&gt;185,$S40&gt;=10),$O$51)))))</f>
        <v>5.5</v>
      </c>
      <c r="AX40" s="255" t="str">
        <f t="shared" ref="AX40" si="14">IF(AC40="PLASTICA",(-AW40+$L$52),IF(AND(AC40="SU MISURA TECNOINOX",V40&lt;=864),($L$53+$L$52),IF(AND(AC40="SU MISURA TECNOINOX",V40&lt;=1164),($L$54+$L$52),"0")))</f>
        <v>0</v>
      </c>
      <c r="AY40" s="255">
        <f t="shared" ref="AY40" si="15">IF(S40&lt;&gt;0,IF(AC40="SU MISURA TECNOINOX",-AW40-BA40-BB40),0)</f>
        <v>0</v>
      </c>
      <c r="AZ40" s="374">
        <f>IF(AND($V40&lt;=264),300,IF(AND($V40&gt;=265,$V40&lt;=364),400,IF(AND($V40&gt;=365,$V40&lt;=414),450,IF(AND($V40&gt;=415,$V40&lt;=564),600,IF(AND($V40&gt;=565,$V40&lt;=864),900,IF(AND($V40&gt;=865),1200))))))</f>
        <v>300</v>
      </c>
      <c r="BA40" s="277" t="e">
        <f>IF(OR($AC40="STANDARD",AJ74="X"),"0",INDEX($A$81:$N$89,MATCH($W40,$A$81:$A$89,0),MATCH($AZ40,$A$81:$N$81,0)))</f>
        <v>#N/A</v>
      </c>
      <c r="BB40" s="255" t="e">
        <f>IF(OR($AC40="STANDARD",AJ74="X"),"0",INDEX($A$92:$N$99,MATCH($X40,$A$92:$A$99,0),MATCH($AZ40,$A$92:$N$92,0)))</f>
        <v>#N/A</v>
      </c>
      <c r="BC40" s="277" t="str">
        <f>IF(AJ74="","0",INDEX($A$111:$N$119,MATCH($W40,$A$111:$A$119,0),MATCH($AZ40,$A$111:$N$111,0)))</f>
        <v>0</v>
      </c>
      <c r="BD40" s="277" t="str">
        <f>IF(AJ74="","0",INDEX($A$122:$N$129,MATCH($X40,$A$122:$A$129,0),MATCH($AZ40,$A$122:$N$122,0)))</f>
        <v>0</v>
      </c>
      <c r="BE40" s="255" t="str">
        <f>IFERROR(INDEX($A$59:$N$64,MATCH($W40,$A$59:$A$64,0),MATCH($AA40,$A$59:$N$59,0)),"0")</f>
        <v>0</v>
      </c>
      <c r="BF40" s="255" t="str">
        <f>IFERROR(INDEX($A$68:$I$76,MATCH($W40,$A$68:$A$76,0),MATCH(Z40,$A$68:$I$68,0)),"0")</f>
        <v>0</v>
      </c>
      <c r="BG40" s="253" t="b">
        <f>IF(AL40="X",-AW40)</f>
        <v>0</v>
      </c>
      <c r="BH40" s="252"/>
      <c r="BI40" s="6"/>
      <c r="BJ40" s="6"/>
    </row>
    <row r="41" spans="1:62" ht="15" customHeight="1">
      <c r="A41" s="340" t="s">
        <v>33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2"/>
      <c r="O41" s="302"/>
      <c r="P41" s="296"/>
      <c r="Q41" s="296"/>
      <c r="R41" s="241"/>
      <c r="S41" s="241"/>
      <c r="T41" s="243"/>
      <c r="U41" s="243"/>
      <c r="V41" s="243"/>
      <c r="W41" s="243"/>
      <c r="X41" s="243"/>
      <c r="Y41" s="243"/>
      <c r="Z41" s="259"/>
      <c r="AA41" s="259"/>
      <c r="AB41" s="243"/>
      <c r="AC41" s="271"/>
      <c r="AD41" s="243"/>
      <c r="AE41" s="243"/>
      <c r="AF41" s="243"/>
      <c r="AG41" s="243"/>
      <c r="AH41" s="243"/>
      <c r="AI41" s="243"/>
      <c r="AJ41" s="301"/>
      <c r="AK41" s="301"/>
      <c r="AL41" s="276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77"/>
      <c r="AX41" s="255"/>
      <c r="AY41" s="255"/>
      <c r="AZ41" s="374"/>
      <c r="BA41" s="277"/>
      <c r="BB41" s="255"/>
      <c r="BC41" s="277"/>
      <c r="BD41" s="277"/>
      <c r="BE41" s="255"/>
      <c r="BF41" s="255"/>
      <c r="BG41" s="253"/>
      <c r="BH41" s="252"/>
      <c r="BI41" s="6"/>
      <c r="BJ41" s="6"/>
    </row>
    <row r="42" spans="1:62" ht="15" customHeight="1">
      <c r="A42" s="292">
        <v>300</v>
      </c>
      <c r="B42" s="293"/>
      <c r="C42" s="292">
        <v>400</v>
      </c>
      <c r="D42" s="293"/>
      <c r="E42" s="292">
        <v>450</v>
      </c>
      <c r="F42" s="293"/>
      <c r="G42" s="292">
        <v>600</v>
      </c>
      <c r="H42" s="293"/>
      <c r="I42" s="308">
        <v>900</v>
      </c>
      <c r="J42" s="309"/>
      <c r="K42" s="310"/>
      <c r="L42" s="308">
        <v>1200</v>
      </c>
      <c r="M42" s="309"/>
      <c r="N42" s="335"/>
      <c r="O42" s="302" t="str">
        <f>IF(AND(P42="X",Q42="X"),"NO",IF(OR(SUM(X42-U42)&lt;90,SUM(X42-U42)&gt;130),"NO",SUM(X42-U42)))</f>
        <v>NO</v>
      </c>
      <c r="P42" s="295" t="str">
        <f>IF(MODULO!I16="SI","X","")</f>
        <v/>
      </c>
      <c r="Q42" s="295" t="str">
        <f>IF(MODULO!J16="SI","X","")</f>
        <v/>
      </c>
      <c r="R42" s="241" t="s">
        <v>106</v>
      </c>
      <c r="S42" s="241">
        <f>MODULO!B16</f>
        <v>0</v>
      </c>
      <c r="T42" s="243">
        <f>MODULO!C16</f>
        <v>0</v>
      </c>
      <c r="U42" s="243">
        <f>MODULO!D16</f>
        <v>0</v>
      </c>
      <c r="V42" s="243">
        <f>MODULO!E16</f>
        <v>0</v>
      </c>
      <c r="W42" s="243">
        <f>MODULO!F16</f>
        <v>0</v>
      </c>
      <c r="X42" s="243">
        <f>MODULO!G16</f>
        <v>0</v>
      </c>
      <c r="Y42" s="243" t="str">
        <f>IF(MODULO!H16="1R","X",IF(MODULO!H16="2R","2X",""))</f>
        <v/>
      </c>
      <c r="Z42" s="259" t="str">
        <f>IF(P42="","",IF(AND(P42="X",O42=92),O42,"NO"))</f>
        <v/>
      </c>
      <c r="AA42" s="259" t="str">
        <f>IF(Q42="","",IF(AND(W42&gt;395,Q42="X"),O42,"NO"))</f>
        <v/>
      </c>
      <c r="AB42" s="243" t="str">
        <f>IF(MODULO!K16="SI","X","")</f>
        <v/>
      </c>
      <c r="AC42" s="271">
        <f>MODULO!L16</f>
        <v>0</v>
      </c>
      <c r="AD42" s="243">
        <f>MODULO!M16</f>
        <v>0</v>
      </c>
      <c r="AE42" s="243">
        <f>MODULO!N16</f>
        <v>0</v>
      </c>
      <c r="AF42" s="243">
        <f>MODULO!O16</f>
        <v>0</v>
      </c>
      <c r="AG42" s="243">
        <f>MODULO!P16</f>
        <v>0</v>
      </c>
      <c r="AH42" s="243"/>
      <c r="AI42" s="243">
        <f>MODULO!Q16</f>
        <v>0</v>
      </c>
      <c r="AJ42" s="301">
        <f>IF(OR(Z42="NO",AA42="NO",AO42="NO"),"NO",IFERROR(IF(AND(BE42="0",Q42="X",Z42="NO"),"NO",SUM(AM42:AY43,BA42:BH43)),0))</f>
        <v>0</v>
      </c>
      <c r="AK42" s="301"/>
      <c r="AL42" s="275"/>
      <c r="AM42" s="255">
        <f>IF(S42&lt;&gt;0,INDEX($A$6:$I$14,MATCH($W42,$A$6:$A$14,0),MATCH($U42,$A$6:$I$6,0)),0)</f>
        <v>0</v>
      </c>
      <c r="AN42" s="255">
        <f>IF(S42&lt;&gt;0,INDEX($A$18:$N$18,MATCH($X42,$A$17:$M$17,0)),0)</f>
        <v>0</v>
      </c>
      <c r="AO42" s="255">
        <f>IF(S42&lt;&gt;0,INDEX($A$22:$I$30,MATCH($W42,$A$22:$A$30,0),MATCH($AF42,$A$22:$I$22,0)),0)</f>
        <v>0</v>
      </c>
      <c r="AP42" s="255" t="str">
        <f>IF(AND(X42&gt;126,$AB42="X"),INDEX($A$35:$G$35,MATCH($X42,$A$34:$G$34,0))+7,IF(AND(X42&lt;=126,$AB42="X"),INDEX($A$35:$G$35,MATCH($X42,$A$34:$G$34,0))+5,"0"))</f>
        <v>0</v>
      </c>
      <c r="AQ42" s="255" t="str">
        <f>IF($AB42="",("0"),IF(AND($AB42="X",$AZ42&gt;900),$L$39,IF(AND($AB42="X",$AZ42&lt;=900,$AZ42&gt;600),$I$39,IF(AND($AB42="X",$AZ42&lt;=600,$AZ42&gt;450),$G$39,IF(AND($AB42="X",$AZ42&lt;=450,$AZ42&gt;400),$E$39,IF(AND($AB42="X",$AZ42&lt;=400,$AZ42&gt;300),$C$39,IF(AND($AB42="X",$AZ42&lt;=300),$A$39)))))))</f>
        <v>0</v>
      </c>
      <c r="AR42" s="255" t="str">
        <f>IF($AB42="",("0"),IF(AND($AB42="X",$Y42="x",$X42&gt;185,$AZ42&gt;900),$L$43,IF(AND($AB42="X",$Y42="x",$X42&gt;185,$AZ42&lt;=900,$AZ42&gt;600),$I$43,IF(AND($AB42="X",$Y42="x",$X42&gt;185,$AZ42&lt;=600,$AZ42&gt;450),$G$43,IF(AND($AB42="X",$Y42="x",$X42&gt;185,$AZ42&lt;=450,$AZ42&gt;400),$E$43,IF(AND($AB42="X",$Y42="x",$X42&gt;185,$AZ42&lt;=400,$AZ42&gt;300),$C$43,IF(AND($AB42="X",$Y42="x",$X42&gt;185,$AZ42&lt;=300),$A$43)))))))</f>
        <v>0</v>
      </c>
      <c r="AS42" s="255" t="str">
        <f>IF($AB42="",("0"),IF(AND($AB42="X",$P42="x",$X42&gt;185,$AZ42&gt;900),$L$43,IF(AND($AB42="X",$P42="x",$X42&gt;185,$AZ42&lt;=900,$AZ42&gt;600),$I$43,IF(AND($AB42="X",$P42="x",$X42&gt;185,$AZ42&lt;=600,$AZ42&gt;450),$G$43,IF(AND($AB42="X",$P42="x",$X42&gt;185,$AZ42&lt;=450,$AZ42&gt;400),$E$43,IF(AND($AB42="X",$P42="x",$X42&gt;185,$AZ42&lt;=400,$AZ42&gt;300),$C$43,IF(AND($AB42="X",$P42="x",$X42&gt;185,$AZ42&lt;=300),$A$43)))))))</f>
        <v>0</v>
      </c>
      <c r="AT42" s="255" t="str">
        <f>IF($AB42="",("0"),IF(AND($AB42="X",$Q42="x",$X42&gt;185,$AZ42&gt;900),$L$43,IF(AND($AB42="X",$Q42="x",$X42&gt;185,$AZ42&lt;=900,$AZ42&gt;600),$I$43,IF(AND($AB42="X",$Q42="x",$X42&gt;185,$AZ42&lt;=600,$AZ42&gt;450),$G$43,IF(AND($AB42="X",$Q42="x",$X42&gt;185,$AZ42&lt;=450,$AZ42&gt;400),$E$43,IF(AND($AB42="X",$Q42="x",$X42&gt;185,$AZ42&lt;=400,$AZ42&gt;300),$C$43,IF(AND($AB42="X",$Q42="x",$X42&gt;185,$AZ42&lt;=300),$A$43)))))))</f>
        <v>0</v>
      </c>
      <c r="AU42" s="255" t="str">
        <f>IF($Y42="X",INDEX($A$47:$N$47,MATCH($W42,$A$46:$N$46,0)),"0")</f>
        <v>0</v>
      </c>
      <c r="AV42" s="255">
        <f>IF($Y42="2X",INDEX($A$47:$N$47,MATCH($W42,$A$46:$N$46,0)),"0")*2</f>
        <v>0</v>
      </c>
      <c r="AW42" s="277">
        <f>IF($V42&gt;1164,$L$49,IF(AND($X42&lt;185,$S42&lt;10),$L$50,IF(AND($X42&lt;185,$S42&gt;=10),$O$50,IF(AND($X42&gt;185,$S42&lt;10),$L$51,IF(AND($X42&gt;185,$S42&gt;=10),$O$51)))))</f>
        <v>5.5</v>
      </c>
      <c r="AX42" s="255" t="str">
        <f t="shared" ref="AX42" si="16">IF(AC42="PLASTICA",(-AW42+$L$52),IF(AND(AC42="SU MISURA TECNOINOX",V42&lt;=864),($L$53+$L$52),IF(AND(AC42="SU MISURA TECNOINOX",V42&lt;=1164),($L$54+$L$52),"0")))</f>
        <v>0</v>
      </c>
      <c r="AY42" s="255">
        <f t="shared" ref="AY42" si="17">IF(S42&lt;&gt;0,IF(AC42="SU MISURA TECNOINOX",-AW42-BA42-BB42),0)</f>
        <v>0</v>
      </c>
      <c r="AZ42" s="374">
        <f>IF(AND($V42&lt;=264),300,IF(AND($V42&gt;=265,$V42&lt;=364),400,IF(AND($V42&gt;=365,$V42&lt;=414),450,IF(AND($V42&gt;=415,$V42&lt;=564),600,IF(AND($V42&gt;=565,$V42&lt;=864),900,IF(AND($V42&gt;=865),1200))))))</f>
        <v>300</v>
      </c>
      <c r="BA42" s="277" t="e">
        <f>IF(OR($AC42="STANDARD",AJ76="X"),"0",INDEX($A$81:$N$89,MATCH($W42,$A$81:$A$89,0),MATCH($AZ42,$A$81:$N$81,0)))</f>
        <v>#N/A</v>
      </c>
      <c r="BB42" s="255" t="e">
        <f>IF(OR($AC42="STANDARD",AJ76="X"),"0",INDEX($A$92:$N$99,MATCH($X42,$A$92:$A$99,0),MATCH($AZ42,$A$92:$N$92,0)))</f>
        <v>#N/A</v>
      </c>
      <c r="BC42" s="277" t="str">
        <f>IF(AJ76="","0",INDEX($A$111:$N$119,MATCH($W42,$A$111:$A$119,0),MATCH($AZ42,$A$111:$N$111,0)))</f>
        <v>0</v>
      </c>
      <c r="BD42" s="277" t="str">
        <f>IF(AJ76="","0",INDEX($A$122:$N$129,MATCH($X42,$A$122:$A$129,0),MATCH($AZ42,$A$122:$N$122,0)))</f>
        <v>0</v>
      </c>
      <c r="BE42" s="255" t="str">
        <f>IFERROR(INDEX($A$59:$N$64,MATCH($W42,$A$59:$A$64,0),MATCH($AA42,$A$59:$N$59,0)),"0")</f>
        <v>0</v>
      </c>
      <c r="BF42" s="255" t="str">
        <f>IFERROR(INDEX($A$68:$I$76,MATCH($W42,$A$68:$A$76,0),MATCH(Z42,$A$68:$I$68,0)),"0")</f>
        <v>0</v>
      </c>
      <c r="BG42" s="253" t="b">
        <f>IF(AL42="X",-AW42)</f>
        <v>0</v>
      </c>
      <c r="BH42" s="252"/>
      <c r="BI42" s="6"/>
      <c r="BJ42" s="6"/>
    </row>
    <row r="43" spans="1:62" ht="15" customHeight="1">
      <c r="A43" s="304">
        <v>2.21</v>
      </c>
      <c r="B43" s="305"/>
      <c r="C43" s="304">
        <v>2.95</v>
      </c>
      <c r="D43" s="305"/>
      <c r="E43" s="304">
        <v>3.32</v>
      </c>
      <c r="F43" s="305"/>
      <c r="G43" s="304">
        <v>4.43</v>
      </c>
      <c r="H43" s="305"/>
      <c r="I43" s="304">
        <v>6.64</v>
      </c>
      <c r="J43" s="306"/>
      <c r="K43" s="305"/>
      <c r="L43" s="304">
        <v>8.85</v>
      </c>
      <c r="M43" s="306"/>
      <c r="N43" s="307"/>
      <c r="O43" s="302"/>
      <c r="P43" s="296"/>
      <c r="Q43" s="296"/>
      <c r="R43" s="241"/>
      <c r="S43" s="241"/>
      <c r="T43" s="243"/>
      <c r="U43" s="243"/>
      <c r="V43" s="243"/>
      <c r="W43" s="243"/>
      <c r="X43" s="243"/>
      <c r="Y43" s="243"/>
      <c r="Z43" s="259"/>
      <c r="AA43" s="259"/>
      <c r="AB43" s="243"/>
      <c r="AC43" s="271"/>
      <c r="AD43" s="243"/>
      <c r="AE43" s="243"/>
      <c r="AF43" s="243"/>
      <c r="AG43" s="243"/>
      <c r="AH43" s="243"/>
      <c r="AI43" s="243"/>
      <c r="AJ43" s="301"/>
      <c r="AK43" s="301"/>
      <c r="AL43" s="276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77"/>
      <c r="AX43" s="255"/>
      <c r="AY43" s="255"/>
      <c r="AZ43" s="374"/>
      <c r="BA43" s="277"/>
      <c r="BB43" s="255"/>
      <c r="BC43" s="277"/>
      <c r="BD43" s="277"/>
      <c r="BE43" s="255"/>
      <c r="BF43" s="255"/>
      <c r="BG43" s="253"/>
      <c r="BH43" s="252"/>
      <c r="BI43" s="6"/>
      <c r="BJ43" s="6"/>
    </row>
    <row r="44" spans="1:62" ht="15" customHeight="1">
      <c r="A44" s="163"/>
      <c r="B44" s="163"/>
      <c r="C44" s="163"/>
      <c r="D44" s="163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302" t="str">
        <f>IF(AND(P44="X",Q44="X"),"NO",IF(OR(SUM(X44-U44)&lt;90,SUM(X44-U44)&gt;130),"NO",SUM(X44-U44)))</f>
        <v>NO</v>
      </c>
      <c r="P44" s="295" t="str">
        <f>IF(MODULO!I17="SI","X","")</f>
        <v/>
      </c>
      <c r="Q44" s="295" t="str">
        <f>IF(MODULO!J17="SI","X","")</f>
        <v/>
      </c>
      <c r="R44" s="241" t="s">
        <v>112</v>
      </c>
      <c r="S44" s="241">
        <f>MODULO!B17</f>
        <v>0</v>
      </c>
      <c r="T44" s="243">
        <f>MODULO!C17</f>
        <v>0</v>
      </c>
      <c r="U44" s="243">
        <f>MODULO!D17</f>
        <v>0</v>
      </c>
      <c r="V44" s="243">
        <f>MODULO!E17</f>
        <v>0</v>
      </c>
      <c r="W44" s="243">
        <f>MODULO!F17</f>
        <v>0</v>
      </c>
      <c r="X44" s="243">
        <f>MODULO!G17</f>
        <v>0</v>
      </c>
      <c r="Y44" s="243" t="str">
        <f>IF(MODULO!H17="1R","X",IF(MODULO!H17="2R","2X",""))</f>
        <v/>
      </c>
      <c r="Z44" s="259" t="str">
        <f>IF(P44="","",IF(AND(P44="X",O44=92),O44,"NO"))</f>
        <v/>
      </c>
      <c r="AA44" s="259" t="str">
        <f>IF(Q44="","",IF(AND(W44&gt;395,Q44="X"),O44,"NO"))</f>
        <v/>
      </c>
      <c r="AB44" s="243" t="str">
        <f>IF(MODULO!K17="SI","X","")</f>
        <v/>
      </c>
      <c r="AC44" s="271">
        <f>MODULO!L17</f>
        <v>0</v>
      </c>
      <c r="AD44" s="243">
        <f>MODULO!M17</f>
        <v>0</v>
      </c>
      <c r="AE44" s="243">
        <f>MODULO!N17</f>
        <v>0</v>
      </c>
      <c r="AF44" s="243">
        <f>MODULO!O17</f>
        <v>0</v>
      </c>
      <c r="AG44" s="243">
        <f>MODULO!P17</f>
        <v>0</v>
      </c>
      <c r="AH44" s="243"/>
      <c r="AI44" s="243">
        <f>MODULO!Q17</f>
        <v>0</v>
      </c>
      <c r="AJ44" s="301">
        <f>IF(OR(Z44="NO",AA44="NO",AO44="NO"),"NO",IFERROR(IF(AND(BE44="0",Q44="X",Z44="NO"),"NO",SUM(AM44:AY45,BA44:BH45)),0))</f>
        <v>0</v>
      </c>
      <c r="AK44" s="301"/>
      <c r="AL44" s="275"/>
      <c r="AM44" s="255">
        <f>IF(S44&lt;&gt;0,INDEX($A$6:$I$14,MATCH($W44,$A$6:$A$14,0),MATCH($U44,$A$6:$I$6,0)),0)</f>
        <v>0</v>
      </c>
      <c r="AN44" s="255">
        <f>IF(S44&lt;&gt;0,INDEX($A$18:$N$18,MATCH($X44,$A$17:$M$17,0)),0)</f>
        <v>0</v>
      </c>
      <c r="AO44" s="255">
        <f>IF(S44&lt;&gt;0,INDEX($A$22:$I$30,MATCH($W44,$A$22:$A$30,0),MATCH($AF44,$A$22:$I$22,0)),0)</f>
        <v>0</v>
      </c>
      <c r="AP44" s="255" t="str">
        <f>IF(AND(X44&gt;126,$AB44="X"),INDEX($A$35:$G$35,MATCH($X44,$A$34:$G$34,0))+7,IF(AND(X44&lt;=126,$AB44="X"),INDEX($A$35:$G$35,MATCH($X44,$A$34:$G$34,0))+5,"0"))</f>
        <v>0</v>
      </c>
      <c r="AQ44" s="255" t="str">
        <f>IF($AB44="",("0"),IF(AND($AB44="X",$AZ44&gt;900),$L$39,IF(AND($AB44="X",$AZ44&lt;=900,$AZ44&gt;600),$I$39,IF(AND($AB44="X",$AZ44&lt;=600,$AZ44&gt;450),$G$39,IF(AND($AB44="X",$AZ44&lt;=450,$AZ44&gt;400),$E$39,IF(AND($AB44="X",$AZ44&lt;=400,$AZ44&gt;300),$C$39,IF(AND($AB44="X",$AZ44&lt;=300),$A$39)))))))</f>
        <v>0</v>
      </c>
      <c r="AR44" s="255" t="str">
        <f>IF($AB44="",("0"),IF(AND($AB44="X",$Y44="x",$X44&gt;185,$AZ44&gt;900),$L$43,IF(AND($AB44="X",$Y44="x",$X44&gt;185,$AZ44&lt;=900,$AZ44&gt;600),$I$43,IF(AND($AB44="X",$Y44="x",$X44&gt;185,$AZ44&lt;=600,$AZ44&gt;450),$G$43,IF(AND($AB44="X",$Y44="x",$X44&gt;185,$AZ44&lt;=450,$AZ44&gt;400),$E$43,IF(AND($AB44="X",$Y44="x",$X44&gt;185,$AZ44&lt;=400,$AZ44&gt;300),$C$43,IF(AND($AB44="X",$Y44="x",$X44&gt;185,$AZ44&lt;=300),$A$43)))))))</f>
        <v>0</v>
      </c>
      <c r="AS44" s="255" t="str">
        <f>IF($AB44="",("0"),IF(AND($AB44="X",$P44="x",$X44&gt;185,$AZ44&gt;900),$L$43,IF(AND($AB44="X",$P44="x",$X44&gt;185,$AZ44&lt;=900,$AZ44&gt;600),$I$43,IF(AND($AB44="X",$P44="x",$X44&gt;185,$AZ44&lt;=600,$AZ44&gt;450),$G$43,IF(AND($AB44="X",$P44="x",$X44&gt;185,$AZ44&lt;=450,$AZ44&gt;400),$E$43,IF(AND($AB44="X",$P44="x",$X44&gt;185,$AZ44&lt;=400,$AZ44&gt;300),$C$43,IF(AND($AB44="X",$P44="x",$X44&gt;185,$AZ44&lt;=300),$A$43)))))))</f>
        <v>0</v>
      </c>
      <c r="AT44" s="255" t="str">
        <f>IF($AB44="",("0"),IF(AND($AB44="X",$Q44="x",$X44&gt;185,$AZ44&gt;900),$L$43,IF(AND($AB44="X",$Q44="x",$X44&gt;185,$AZ44&lt;=900,$AZ44&gt;600),$I$43,IF(AND($AB44="X",$Q44="x",$X44&gt;185,$AZ44&lt;=600,$AZ44&gt;450),$G$43,IF(AND($AB44="X",$Q44="x",$X44&gt;185,$AZ44&lt;=450,$AZ44&gt;400),$E$43,IF(AND($AB44="X",$Q44="x",$X44&gt;185,$AZ44&lt;=400,$AZ44&gt;300),$C$43,IF(AND($AB44="X",$Q44="x",$X44&gt;185,$AZ44&lt;=300),$A$43)))))))</f>
        <v>0</v>
      </c>
      <c r="AU44" s="255" t="str">
        <f>IF($Y44="X",INDEX($A$47:$N$47,MATCH($W44,$A$46:$N$46,0)),"0")</f>
        <v>0</v>
      </c>
      <c r="AV44" s="255">
        <f>IF($Y44="2X",INDEX($A$47:$N$47,MATCH($W44,$A$46:$N$46,0)),"0")*2</f>
        <v>0</v>
      </c>
      <c r="AW44" s="277">
        <f>IF($V44&gt;1164,$L$49,IF(AND($X44&lt;185,$S44&lt;10),$L$50,IF(AND($X44&lt;185,$S44&gt;=10),$O$50,IF(AND($X44&gt;185,$S44&lt;10),$L$51,IF(AND($X44&gt;185,$S44&gt;=10),$O$51)))))</f>
        <v>5.5</v>
      </c>
      <c r="AX44" s="255" t="str">
        <f t="shared" ref="AX44" si="18">IF(AC44="PLASTICA",(-AW44+$L$52),IF(AND(AC44="SU MISURA TECNOINOX",V44&lt;=864),($L$53+$L$52),IF(AND(AC44="SU MISURA TECNOINOX",V44&lt;=1164),($L$54+$L$52),"0")))</f>
        <v>0</v>
      </c>
      <c r="AY44" s="255">
        <f t="shared" ref="AY44" si="19">IF(S44&lt;&gt;0,IF(AC44="SU MISURA TECNOINOX",-AW44-BA44-BB44),0)</f>
        <v>0</v>
      </c>
      <c r="AZ44" s="374">
        <f>IF(AND($V44&lt;=264),300,IF(AND($V44&gt;=265,$V44&lt;=364),400,IF(AND($V44&gt;=365,$V44&lt;=414),450,IF(AND($V44&gt;=415,$V44&lt;=564),600,IF(AND($V44&gt;=565,$V44&lt;=864),900,IF(AND($V44&gt;=865),1200))))))</f>
        <v>300</v>
      </c>
      <c r="BA44" s="277" t="e">
        <f>IF(OR($AC44="STANDARD",AJ78="X"),"0",INDEX($A$81:$N$89,MATCH($W44,$A$81:$A$89,0),MATCH($AZ44,$A$81:$N$81,0)))</f>
        <v>#N/A</v>
      </c>
      <c r="BB44" s="255" t="e">
        <f>IF(OR($AC44="STANDARD",AJ78="X"),"0",INDEX($A$92:$N$99,MATCH($X44,$A$92:$A$99,0),MATCH($AZ44,$A$92:$N$92,0)))</f>
        <v>#N/A</v>
      </c>
      <c r="BC44" s="277" t="str">
        <f>IF(AJ78="","0",INDEX($A$111:$N$119,MATCH($W44,$A$111:$A$119,0),MATCH($AZ44,$A$111:$N$111,0)))</f>
        <v>0</v>
      </c>
      <c r="BD44" s="277" t="str">
        <f>IF(AJ78="","0",INDEX($A$122:$N$129,MATCH($X44,$A$122:$A$129,0),MATCH($AZ44,$A$122:$N$122,0)))</f>
        <v>0</v>
      </c>
      <c r="BE44" s="255" t="str">
        <f>IFERROR(INDEX($A$59:$N$64,MATCH($W44,$A$59:$A$64,0),MATCH($AA44,$A$59:$N$59,0)),"0")</f>
        <v>0</v>
      </c>
      <c r="BF44" s="255" t="str">
        <f>IFERROR(INDEX($A$68:$I$76,MATCH($W44,$A$68:$A$76,0),MATCH(Z44,$A$68:$I$68,0)),"0")</f>
        <v>0</v>
      </c>
      <c r="BG44" s="253" t="b">
        <f>IF(AL44="X",-AW44)</f>
        <v>0</v>
      </c>
      <c r="BH44" s="252"/>
      <c r="BI44" s="6"/>
      <c r="BJ44" s="6"/>
    </row>
    <row r="45" spans="1:62" ht="15" customHeight="1">
      <c r="A45" s="263" t="s">
        <v>21</v>
      </c>
      <c r="B45" s="264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344"/>
      <c r="O45" s="302"/>
      <c r="P45" s="296"/>
      <c r="Q45" s="296"/>
      <c r="R45" s="241"/>
      <c r="S45" s="241"/>
      <c r="T45" s="243"/>
      <c r="U45" s="243"/>
      <c r="V45" s="243"/>
      <c r="W45" s="243"/>
      <c r="X45" s="243"/>
      <c r="Y45" s="243"/>
      <c r="Z45" s="259"/>
      <c r="AA45" s="259"/>
      <c r="AB45" s="243"/>
      <c r="AC45" s="271"/>
      <c r="AD45" s="243"/>
      <c r="AE45" s="243"/>
      <c r="AF45" s="243"/>
      <c r="AG45" s="243"/>
      <c r="AH45" s="243"/>
      <c r="AI45" s="243"/>
      <c r="AJ45" s="301"/>
      <c r="AK45" s="301"/>
      <c r="AL45" s="276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77"/>
      <c r="AX45" s="255"/>
      <c r="AY45" s="255"/>
      <c r="AZ45" s="374"/>
      <c r="BA45" s="277"/>
      <c r="BB45" s="255"/>
      <c r="BC45" s="277"/>
      <c r="BD45" s="277"/>
      <c r="BE45" s="255"/>
      <c r="BF45" s="255"/>
      <c r="BG45" s="253"/>
      <c r="BH45" s="252"/>
      <c r="BI45" s="6"/>
      <c r="BJ45" s="6"/>
    </row>
    <row r="46" spans="1:62" ht="15" customHeight="1">
      <c r="A46" s="292">
        <v>270</v>
      </c>
      <c r="B46" s="293"/>
      <c r="C46" s="292">
        <v>300</v>
      </c>
      <c r="D46" s="293"/>
      <c r="E46" s="292">
        <v>350</v>
      </c>
      <c r="F46" s="293"/>
      <c r="G46" s="159">
        <v>400</v>
      </c>
      <c r="H46" s="159">
        <v>450</v>
      </c>
      <c r="I46" s="292">
        <v>500</v>
      </c>
      <c r="J46" s="293"/>
      <c r="K46" s="292">
        <v>550</v>
      </c>
      <c r="L46" s="293"/>
      <c r="M46" s="292">
        <v>650</v>
      </c>
      <c r="N46" s="293"/>
      <c r="O46" s="6"/>
      <c r="P46" s="2"/>
      <c r="Q46" s="2"/>
      <c r="S46" s="262" t="s">
        <v>22</v>
      </c>
      <c r="T46" s="262"/>
      <c r="U46" s="267">
        <f>MODULO!C18</f>
        <v>0</v>
      </c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41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</row>
    <row r="47" spans="1:62" ht="15" customHeight="1">
      <c r="A47" s="304">
        <v>5.0715000000000003</v>
      </c>
      <c r="B47" s="305"/>
      <c r="C47" s="304">
        <v>5.1450000000000005</v>
      </c>
      <c r="D47" s="305"/>
      <c r="E47" s="304">
        <v>5.2709999999999999</v>
      </c>
      <c r="F47" s="305"/>
      <c r="G47" s="162">
        <v>5.3340000000000014</v>
      </c>
      <c r="H47" s="162">
        <v>5.3340000000000014</v>
      </c>
      <c r="I47" s="304">
        <v>5.418000000000001</v>
      </c>
      <c r="J47" s="305"/>
      <c r="K47" s="304">
        <v>5.5125000000000002</v>
      </c>
      <c r="L47" s="305"/>
      <c r="M47" s="304">
        <v>5.722500000000001</v>
      </c>
      <c r="N47" s="305"/>
      <c r="O47" s="6"/>
      <c r="P47" s="2"/>
      <c r="Q47" s="2"/>
      <c r="S47" s="262"/>
      <c r="T47" s="262"/>
      <c r="U47" s="267"/>
      <c r="V47" s="267"/>
      <c r="W47" s="267"/>
      <c r="X47" s="267"/>
      <c r="Y47" s="267"/>
      <c r="Z47" s="267"/>
      <c r="AA47" s="267"/>
      <c r="AB47" s="267"/>
      <c r="AC47" s="267"/>
      <c r="AD47" s="267"/>
      <c r="AE47" s="267"/>
      <c r="AF47" s="267"/>
      <c r="AG47" s="267"/>
      <c r="AH47" s="267"/>
      <c r="AI47" s="267"/>
      <c r="AJ47" s="267"/>
      <c r="AK47" s="267"/>
      <c r="AL47" s="38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</row>
    <row r="48" spans="1:62" ht="15" customHeight="1">
      <c r="A48" s="304"/>
      <c r="B48" s="305"/>
      <c r="C48" s="304"/>
      <c r="D48" s="305"/>
      <c r="E48" s="304"/>
      <c r="F48" s="305"/>
      <c r="G48" s="304"/>
      <c r="H48" s="305"/>
      <c r="I48" s="304"/>
      <c r="J48" s="305"/>
      <c r="K48" s="304"/>
      <c r="L48" s="305"/>
      <c r="M48" s="304"/>
      <c r="N48" s="305"/>
      <c r="O48" s="6"/>
      <c r="P48" s="6"/>
      <c r="Q48" s="6"/>
      <c r="S48" s="196" t="str">
        <f>MODULO!B19</f>
        <v/>
      </c>
      <c r="T48" s="196"/>
      <c r="U48" s="196"/>
      <c r="V48" s="196"/>
      <c r="W48" s="196"/>
      <c r="X48" s="196"/>
      <c r="Y48" s="196"/>
      <c r="Z48" s="196" t="str">
        <f>MODULO!I19</f>
        <v/>
      </c>
      <c r="AA48" s="196"/>
      <c r="AB48" s="196"/>
      <c r="AC48" s="196"/>
      <c r="AD48" s="196"/>
      <c r="AE48" s="196"/>
      <c r="AF48" s="196"/>
      <c r="AG48" s="196"/>
      <c r="AH48" s="196"/>
      <c r="AI48" s="196"/>
      <c r="AL48" s="2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</row>
    <row r="49" spans="1:62" ht="15" customHeight="1">
      <c r="A49" s="320" t="s">
        <v>90</v>
      </c>
      <c r="B49" s="321"/>
      <c r="C49" s="321"/>
      <c r="D49" s="321"/>
      <c r="E49" s="321"/>
      <c r="F49" s="321"/>
      <c r="G49" s="321"/>
      <c r="H49" s="321"/>
      <c r="I49" s="321"/>
      <c r="J49" s="321"/>
      <c r="K49" s="322"/>
      <c r="L49" s="317">
        <v>15</v>
      </c>
      <c r="M49" s="318"/>
      <c r="N49" s="319"/>
      <c r="O49" s="317" t="s">
        <v>79</v>
      </c>
      <c r="P49" s="318"/>
      <c r="Q49" s="318"/>
      <c r="R49" s="133"/>
      <c r="S49" s="195" t="str">
        <f>MODULO!B20</f>
        <v/>
      </c>
      <c r="T49" s="195"/>
      <c r="U49" s="196" t="str">
        <f>MODULO!D20</f>
        <v/>
      </c>
      <c r="V49" s="196"/>
      <c r="W49" s="196" t="str">
        <f>MODULO!F20</f>
        <v/>
      </c>
      <c r="X49" s="196"/>
      <c r="Y49" s="196"/>
      <c r="Z49" s="229" t="str">
        <f>MODULO!I20</f>
        <v/>
      </c>
      <c r="AA49" s="229"/>
      <c r="AB49" s="229"/>
      <c r="AC49" s="229" t="str">
        <f>MODULO!L20</f>
        <v/>
      </c>
      <c r="AD49" s="229"/>
      <c r="AE49" s="229" t="str">
        <f>MODULO!N20</f>
        <v/>
      </c>
      <c r="AF49" s="229"/>
      <c r="AG49" s="229"/>
      <c r="AH49" s="229" t="str">
        <f>MODULO!Q20</f>
        <v/>
      </c>
      <c r="AI49" s="229"/>
      <c r="AL49" s="2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</row>
    <row r="50" spans="1:62" ht="15" customHeight="1">
      <c r="A50" s="320" t="s">
        <v>39</v>
      </c>
      <c r="B50" s="321"/>
      <c r="C50" s="321"/>
      <c r="D50" s="321"/>
      <c r="E50" s="321"/>
      <c r="F50" s="321"/>
      <c r="G50" s="321"/>
      <c r="H50" s="321"/>
      <c r="I50" s="321"/>
      <c r="J50" s="321"/>
      <c r="K50" s="322"/>
      <c r="L50" s="317">
        <v>5.5</v>
      </c>
      <c r="M50" s="318"/>
      <c r="N50" s="319"/>
      <c r="O50" s="317">
        <v>2</v>
      </c>
      <c r="P50" s="318"/>
      <c r="Q50" s="318"/>
      <c r="R50" s="133"/>
      <c r="S50" s="196" t="str">
        <f>MODULO!B21</f>
        <v/>
      </c>
      <c r="T50" s="196"/>
      <c r="U50" s="196"/>
      <c r="V50" s="196"/>
      <c r="W50" s="196"/>
      <c r="X50" s="196"/>
      <c r="Y50" s="119"/>
      <c r="Z50" s="101"/>
      <c r="AA50" s="101"/>
      <c r="AB50" s="101"/>
      <c r="AC50" s="101"/>
      <c r="AD50" s="101"/>
      <c r="AE50" s="101"/>
      <c r="AF50" s="101"/>
      <c r="AG50" s="101"/>
      <c r="AH50" s="101"/>
      <c r="AI50" s="93"/>
      <c r="AL50" s="2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</row>
    <row r="51" spans="1:62" ht="39.9" customHeight="1">
      <c r="A51" s="320" t="s">
        <v>40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2"/>
      <c r="L51" s="317">
        <v>6.5</v>
      </c>
      <c r="M51" s="318"/>
      <c r="N51" s="319"/>
      <c r="O51" s="317">
        <v>2.5</v>
      </c>
      <c r="P51" s="318"/>
      <c r="Q51" s="318"/>
      <c r="R51" s="133"/>
      <c r="S51" s="278" t="str">
        <f>MODULO!B22</f>
        <v/>
      </c>
      <c r="T51" s="278"/>
      <c r="U51" s="278" t="str">
        <f>MODULO!D22</f>
        <v/>
      </c>
      <c r="V51" s="278"/>
      <c r="W51" s="278" t="str">
        <f>MODULO!F22</f>
        <v/>
      </c>
      <c r="X51" s="278"/>
      <c r="Y51" s="139" t="str">
        <f>MODULO!H22</f>
        <v/>
      </c>
      <c r="Z51" s="140">
        <f>MODULO!I22</f>
        <v>0</v>
      </c>
      <c r="AA51" s="298" t="str">
        <f>MODULO!J22</f>
        <v/>
      </c>
      <c r="AB51" s="298"/>
      <c r="AC51" s="298"/>
      <c r="AD51" s="298"/>
      <c r="AE51" s="299" t="str">
        <f>MODULO!N22</f>
        <v>CASSETTI ARCITECH V.4</v>
      </c>
      <c r="AF51" s="299"/>
      <c r="AG51" s="299"/>
      <c r="AH51" s="299"/>
      <c r="AI51" s="300"/>
      <c r="AJ51" s="141"/>
      <c r="AK51" s="141"/>
      <c r="AL51" s="2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</row>
    <row r="52" spans="1:62" ht="17.100000000000001" customHeight="1">
      <c r="A52" s="320" t="s">
        <v>38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2"/>
      <c r="L52" s="317">
        <v>25</v>
      </c>
      <c r="M52" s="318"/>
      <c r="N52" s="319"/>
      <c r="O52" s="6"/>
      <c r="P52" s="6"/>
      <c r="Q52" s="6"/>
      <c r="S52" s="294" t="s">
        <v>153</v>
      </c>
      <c r="T52" s="294"/>
      <c r="U52" s="282">
        <f>$U$18</f>
        <v>0</v>
      </c>
      <c r="V52" s="282"/>
      <c r="W52" s="282"/>
      <c r="X52" s="282"/>
      <c r="Y52" s="282"/>
      <c r="Z52" s="282"/>
      <c r="AA52" s="282"/>
      <c r="AB52" s="282"/>
      <c r="AC52" s="282"/>
      <c r="AD52" s="282"/>
      <c r="AE52" s="280" t="s">
        <v>53</v>
      </c>
      <c r="AF52" s="280"/>
      <c r="AG52" s="280"/>
      <c r="AH52" s="385">
        <f>$AH$18</f>
        <v>0</v>
      </c>
      <c r="AI52" s="386"/>
      <c r="AJ52" s="386"/>
      <c r="AK52" s="386"/>
      <c r="AL52" s="42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</row>
    <row r="53" spans="1:62" ht="17.100000000000001" customHeight="1">
      <c r="A53" s="320" t="s">
        <v>43</v>
      </c>
      <c r="B53" s="321"/>
      <c r="C53" s="321"/>
      <c r="D53" s="321"/>
      <c r="E53" s="321"/>
      <c r="F53" s="321"/>
      <c r="G53" s="321"/>
      <c r="H53" s="321"/>
      <c r="I53" s="321"/>
      <c r="J53" s="321"/>
      <c r="K53" s="322"/>
      <c r="L53" s="317">
        <v>71.14</v>
      </c>
      <c r="M53" s="318"/>
      <c r="N53" s="319"/>
      <c r="O53" s="6"/>
      <c r="P53" s="6"/>
      <c r="Q53" s="6"/>
      <c r="R53" s="380">
        <f>S19</f>
        <v>0</v>
      </c>
      <c r="S53" s="380"/>
      <c r="T53" s="268" t="s">
        <v>152</v>
      </c>
      <c r="U53" s="268"/>
      <c r="V53" s="270">
        <f>X19</f>
        <v>0</v>
      </c>
      <c r="W53" s="270"/>
      <c r="X53" s="270"/>
      <c r="Y53" s="270"/>
      <c r="Z53" s="270"/>
      <c r="AA53" s="270"/>
      <c r="AB53" s="270"/>
      <c r="AC53" s="270"/>
      <c r="AD53" s="270"/>
      <c r="AE53" s="270"/>
      <c r="AF53" s="270"/>
      <c r="AG53" s="270"/>
      <c r="AH53" s="270"/>
      <c r="AI53" s="270"/>
      <c r="AJ53" s="270"/>
      <c r="AK53" s="270"/>
      <c r="AL53" s="2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</row>
    <row r="54" spans="1:62" ht="17.100000000000001" customHeight="1">
      <c r="A54" s="320" t="s">
        <v>44</v>
      </c>
      <c r="B54" s="321"/>
      <c r="C54" s="321"/>
      <c r="D54" s="321"/>
      <c r="E54" s="321"/>
      <c r="F54" s="321"/>
      <c r="G54" s="321"/>
      <c r="H54" s="321"/>
      <c r="I54" s="321"/>
      <c r="J54" s="321"/>
      <c r="K54" s="322"/>
      <c r="L54" s="317">
        <v>80.31</v>
      </c>
      <c r="M54" s="318"/>
      <c r="N54" s="319"/>
      <c r="O54" s="6"/>
      <c r="P54" s="6"/>
      <c r="Q54" s="6"/>
      <c r="R54" s="380"/>
      <c r="S54" s="380"/>
      <c r="T54" s="297" t="s">
        <v>18</v>
      </c>
      <c r="U54" s="297"/>
      <c r="V54" s="297"/>
      <c r="W54" s="236"/>
      <c r="X54" s="236"/>
      <c r="Y54" s="236"/>
      <c r="Z54" s="236"/>
      <c r="AA54" s="236"/>
      <c r="AB54" s="236"/>
      <c r="AC54" s="236"/>
      <c r="AD54" s="237"/>
      <c r="AE54" s="137" t="s">
        <v>61</v>
      </c>
      <c r="AF54" s="281">
        <f>$AF$20</f>
        <v>0</v>
      </c>
      <c r="AG54" s="281"/>
      <c r="AH54" s="281"/>
      <c r="AI54" s="281"/>
      <c r="AJ54" s="281"/>
      <c r="AK54" s="281"/>
      <c r="AL54" s="43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</row>
    <row r="55" spans="1:62" ht="11.1" customHeight="1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6"/>
      <c r="P55" s="6"/>
      <c r="Q55" s="6"/>
      <c r="S55" s="98"/>
      <c r="T55" s="97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44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</row>
    <row r="56" spans="1:62" ht="20.100000000000001" customHeight="1">
      <c r="A56" s="170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6"/>
      <c r="P56" s="6"/>
      <c r="Q56" s="6"/>
      <c r="S56" s="240" t="s">
        <v>7</v>
      </c>
      <c r="T56" s="240" t="s">
        <v>8</v>
      </c>
      <c r="U56" s="243" t="s">
        <v>9</v>
      </c>
      <c r="V56" s="245" t="s">
        <v>54</v>
      </c>
      <c r="W56" s="240" t="s">
        <v>10</v>
      </c>
      <c r="X56" s="245" t="s">
        <v>50</v>
      </c>
      <c r="Y56" s="246" t="s">
        <v>51</v>
      </c>
      <c r="Z56" s="245" t="s">
        <v>48</v>
      </c>
      <c r="AA56" s="245" t="s">
        <v>47</v>
      </c>
      <c r="AB56" s="238" t="s">
        <v>62</v>
      </c>
      <c r="AC56" s="238"/>
      <c r="AD56" s="238" t="s">
        <v>63</v>
      </c>
      <c r="AE56" s="238"/>
      <c r="AF56" s="269" t="s">
        <v>49</v>
      </c>
      <c r="AG56" s="271" t="str">
        <f>IF(COUNTIFS(AI58:AI79,"SU MISURA TECNOINOX")&gt;0,"MISURE TAGLIO TECNOINOX","")</f>
        <v/>
      </c>
      <c r="AH56" s="271"/>
      <c r="AI56" s="257" t="str">
        <f>IF(OR(COUNTIFS(MODULO!$L$7:$L$17,"STANDARD")&gt;0,COUNTIFS(MODULO!$L$7:$L$17,"PLASTICA")&gt;0),"TIPOLOGIA SOTTOLAVELLO","")</f>
        <v/>
      </c>
      <c r="AJ56" s="272" t="s">
        <v>80</v>
      </c>
      <c r="AK56" s="279" t="s">
        <v>11</v>
      </c>
      <c r="AL56" s="45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</row>
    <row r="57" spans="1:62" ht="18" customHeight="1">
      <c r="A57" s="263" t="s">
        <v>23</v>
      </c>
      <c r="B57" s="264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5"/>
      <c r="O57" s="6"/>
      <c r="P57" s="6"/>
      <c r="Q57" s="6"/>
      <c r="S57" s="240"/>
      <c r="T57" s="240"/>
      <c r="U57" s="243"/>
      <c r="V57" s="248"/>
      <c r="W57" s="240"/>
      <c r="X57" s="245"/>
      <c r="Y57" s="247"/>
      <c r="Z57" s="245"/>
      <c r="AA57" s="245"/>
      <c r="AB57" s="238"/>
      <c r="AC57" s="238"/>
      <c r="AD57" s="238"/>
      <c r="AE57" s="238"/>
      <c r="AF57" s="269"/>
      <c r="AG57" s="271"/>
      <c r="AH57" s="271"/>
      <c r="AI57" s="257"/>
      <c r="AJ57" s="272"/>
      <c r="AK57" s="279"/>
      <c r="AL57" s="45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</row>
    <row r="58" spans="1:62" ht="15.9" customHeight="1">
      <c r="A58" s="326" t="s">
        <v>0</v>
      </c>
      <c r="B58" s="327"/>
      <c r="C58" s="327"/>
      <c r="D58" s="328"/>
      <c r="E58" s="329" t="s">
        <v>3</v>
      </c>
      <c r="F58" s="330"/>
      <c r="G58" s="330"/>
      <c r="H58" s="330"/>
      <c r="I58" s="330"/>
      <c r="J58" s="330"/>
      <c r="K58" s="330"/>
      <c r="L58" s="330"/>
      <c r="M58" s="330"/>
      <c r="N58" s="331"/>
      <c r="O58" s="6"/>
      <c r="P58" s="6"/>
      <c r="Q58" s="6"/>
      <c r="R58" s="241" t="s">
        <v>98</v>
      </c>
      <c r="S58" s="242" t="str">
        <f t="shared" ref="S58:X58" si="20">IF(S24&lt;1," ",S24)</f>
        <v xml:space="preserve"> </v>
      </c>
      <c r="T58" s="243" t="str">
        <f t="shared" si="20"/>
        <v xml:space="preserve"> </v>
      </c>
      <c r="U58" s="239" t="str">
        <f>IF(U24&lt;1," ",U24)</f>
        <v xml:space="preserve"> </v>
      </c>
      <c r="V58" s="239" t="str">
        <f t="shared" si="20"/>
        <v xml:space="preserve"> </v>
      </c>
      <c r="W58" s="239" t="str">
        <f t="shared" si="20"/>
        <v xml:space="preserve"> </v>
      </c>
      <c r="X58" s="239" t="str">
        <f t="shared" si="20"/>
        <v xml:space="preserve"> </v>
      </c>
      <c r="Y58" s="239" t="str">
        <f>IF(Y24&lt;1," ",Y24)</f>
        <v/>
      </c>
      <c r="Z58" s="239" t="str">
        <f>IF($P24="X",$Z24," ")</f>
        <v xml:space="preserve"> </v>
      </c>
      <c r="AA58" s="239" t="str">
        <f>IF(Q24="X",AA24," ")</f>
        <v xml:space="preserve"> </v>
      </c>
      <c r="AB58" s="244">
        <f>SUM(V24-76)</f>
        <v>-76</v>
      </c>
      <c r="AC58" s="244"/>
      <c r="AD58" s="244">
        <f>SUM(V24-87.5)</f>
        <v>-87.5</v>
      </c>
      <c r="AE58" s="244"/>
      <c r="AF58" s="242" t="str">
        <f>IF($AB24="X","X"," ")</f>
        <v xml:space="preserve"> </v>
      </c>
      <c r="AG58" s="138" t="str">
        <f>IF(AH58&lt;&gt;"","P","")</f>
        <v/>
      </c>
      <c r="AH58" s="138" t="str">
        <f>IF($AC$24="SU MISURA TECNOINOX",W58-25,"")</f>
        <v/>
      </c>
      <c r="AI58" s="245">
        <f>IF($AC24&lt;&gt;"",AC24," ")</f>
        <v>0</v>
      </c>
      <c r="AJ58" s="244" t="str">
        <f>IF(AND(S24&gt;0,T58&lt;&gt;"ANTRACITE",T58&lt;&gt;"ARGENTO",T58&lt;&gt;"BIANCO",AC24&lt;&gt;0,AC24&lt;&gt;"STANDARD"),"X","")</f>
        <v/>
      </c>
      <c r="AK58" s="244" t="str">
        <f>IF($AF24&gt;1,$AF24," ")</f>
        <v xml:space="preserve"> </v>
      </c>
      <c r="AL58" s="4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</row>
    <row r="59" spans="1:62" ht="15.9" customHeight="1">
      <c r="A59" s="323" t="s">
        <v>1</v>
      </c>
      <c r="B59" s="324"/>
      <c r="C59" s="324"/>
      <c r="D59" s="325"/>
      <c r="E59" s="288">
        <v>92</v>
      </c>
      <c r="F59" s="289"/>
      <c r="G59" s="289"/>
      <c r="H59" s="289"/>
      <c r="I59" s="290"/>
      <c r="J59" s="288">
        <v>124</v>
      </c>
      <c r="K59" s="289"/>
      <c r="L59" s="289"/>
      <c r="M59" s="289"/>
      <c r="N59" s="290"/>
      <c r="O59" s="6"/>
      <c r="P59" s="6"/>
      <c r="Q59" s="6"/>
      <c r="R59" s="241"/>
      <c r="S59" s="242"/>
      <c r="T59" s="243"/>
      <c r="U59" s="239"/>
      <c r="V59" s="239"/>
      <c r="W59" s="239"/>
      <c r="X59" s="239"/>
      <c r="Y59" s="239"/>
      <c r="Z59" s="239"/>
      <c r="AA59" s="239"/>
      <c r="AB59" s="244"/>
      <c r="AC59" s="244"/>
      <c r="AD59" s="244"/>
      <c r="AE59" s="244"/>
      <c r="AF59" s="242"/>
      <c r="AG59" s="138" t="str">
        <f>IF(AH59&lt;&gt;"","L","")</f>
        <v/>
      </c>
      <c r="AH59" s="138" t="str">
        <f>IF($AC$24="SU MISURA TECNOINOX",V58-255,"")</f>
        <v/>
      </c>
      <c r="AI59" s="245"/>
      <c r="AJ59" s="244"/>
      <c r="AK59" s="244"/>
      <c r="AL59" s="4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</row>
    <row r="60" spans="1:62" ht="15.9" customHeight="1">
      <c r="A60" s="288">
        <v>400</v>
      </c>
      <c r="B60" s="289"/>
      <c r="C60" s="289"/>
      <c r="D60" s="290"/>
      <c r="E60" s="285">
        <v>16.611000000000001</v>
      </c>
      <c r="F60" s="286"/>
      <c r="G60" s="286"/>
      <c r="H60" s="286"/>
      <c r="I60" s="287"/>
      <c r="J60" s="285">
        <v>18.868500000000001</v>
      </c>
      <c r="K60" s="286"/>
      <c r="L60" s="286"/>
      <c r="M60" s="286"/>
      <c r="N60" s="287"/>
      <c r="O60" s="6"/>
      <c r="P60" s="6"/>
      <c r="Q60" s="6"/>
      <c r="R60" s="241" t="s">
        <v>99</v>
      </c>
      <c r="S60" s="242" t="str">
        <f t="shared" ref="S60:Y60" si="21">IF(S26&lt;1," ",S26)</f>
        <v xml:space="preserve"> </v>
      </c>
      <c r="T60" s="243" t="str">
        <f t="shared" si="21"/>
        <v xml:space="preserve"> </v>
      </c>
      <c r="U60" s="239" t="str">
        <f t="shared" si="21"/>
        <v xml:space="preserve"> </v>
      </c>
      <c r="V60" s="239" t="str">
        <f t="shared" si="21"/>
        <v xml:space="preserve"> </v>
      </c>
      <c r="W60" s="239" t="str">
        <f t="shared" si="21"/>
        <v xml:space="preserve"> </v>
      </c>
      <c r="X60" s="239" t="str">
        <f t="shared" si="21"/>
        <v xml:space="preserve"> </v>
      </c>
      <c r="Y60" s="239" t="str">
        <f t="shared" si="21"/>
        <v/>
      </c>
      <c r="Z60" s="239" t="str">
        <f>IF(P26="X",Z26," ")</f>
        <v xml:space="preserve"> </v>
      </c>
      <c r="AA60" s="239" t="str">
        <f>IF(Q26="X",AA26," ")</f>
        <v xml:space="preserve"> </v>
      </c>
      <c r="AB60" s="244">
        <f>SUM(V26-76)</f>
        <v>-76</v>
      </c>
      <c r="AC60" s="244"/>
      <c r="AD60" s="244">
        <f>SUM(V26-87.5)</f>
        <v>-87.5</v>
      </c>
      <c r="AE60" s="244"/>
      <c r="AF60" s="242" t="str">
        <f>IF($AB26="X","X"," ")</f>
        <v xml:space="preserve"> </v>
      </c>
      <c r="AG60" s="138" t="str">
        <f t="shared" ref="AG60" si="22">IF(AH60&lt;&gt;"","P","")</f>
        <v/>
      </c>
      <c r="AH60" s="138" t="str">
        <f>IF($AC$26="SU MISURA TECNOINOX",W60-25,"")</f>
        <v/>
      </c>
      <c r="AI60" s="250">
        <f>IF($AC26&lt;&gt;"",AC26," ")</f>
        <v>0</v>
      </c>
      <c r="AJ60" s="244" t="str">
        <f t="shared" ref="AJ60" si="23">IF(AND(S26&gt;0,T60&lt;&gt;"ANTRACITE",T60&lt;&gt;"ARGENTO",T60&lt;&gt;"BIANCO",AC26&lt;&gt;0,AC26&lt;&gt;"STANDARD"),"X","")</f>
        <v/>
      </c>
      <c r="AK60" s="244" t="str">
        <f>IF($AF26&gt;1,$AF26," ")</f>
        <v xml:space="preserve"> </v>
      </c>
      <c r="AL60" s="4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</row>
    <row r="61" spans="1:62" ht="15.9" customHeight="1">
      <c r="A61" s="288">
        <v>450</v>
      </c>
      <c r="B61" s="289"/>
      <c r="C61" s="289"/>
      <c r="D61" s="290"/>
      <c r="E61" s="285">
        <v>16.611000000000001</v>
      </c>
      <c r="F61" s="286"/>
      <c r="G61" s="286"/>
      <c r="H61" s="286"/>
      <c r="I61" s="287"/>
      <c r="J61" s="285">
        <v>18.868500000000001</v>
      </c>
      <c r="K61" s="286"/>
      <c r="L61" s="286"/>
      <c r="M61" s="286"/>
      <c r="N61" s="287"/>
      <c r="O61" s="6"/>
      <c r="P61" s="6"/>
      <c r="Q61" s="6"/>
      <c r="R61" s="241"/>
      <c r="S61" s="242"/>
      <c r="T61" s="243"/>
      <c r="U61" s="239"/>
      <c r="V61" s="239"/>
      <c r="W61" s="239"/>
      <c r="X61" s="239"/>
      <c r="Y61" s="239"/>
      <c r="Z61" s="239"/>
      <c r="AA61" s="239"/>
      <c r="AB61" s="244"/>
      <c r="AC61" s="244"/>
      <c r="AD61" s="244"/>
      <c r="AE61" s="244"/>
      <c r="AF61" s="242"/>
      <c r="AG61" s="138" t="str">
        <f t="shared" ref="AG61" si="24">IF(AH61&lt;&gt;"","L","")</f>
        <v/>
      </c>
      <c r="AH61" s="138" t="str">
        <f>IF($AC$26="SU MISURA TECNOINOX",V60-255,"")</f>
        <v/>
      </c>
      <c r="AI61" s="251"/>
      <c r="AJ61" s="244"/>
      <c r="AK61" s="244"/>
      <c r="AL61" s="4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</row>
    <row r="62" spans="1:62" ht="15.9" customHeight="1">
      <c r="A62" s="288">
        <v>500</v>
      </c>
      <c r="B62" s="289"/>
      <c r="C62" s="289"/>
      <c r="D62" s="290"/>
      <c r="E62" s="285">
        <v>16.705500000000001</v>
      </c>
      <c r="F62" s="286"/>
      <c r="G62" s="286"/>
      <c r="H62" s="286"/>
      <c r="I62" s="287"/>
      <c r="J62" s="285">
        <v>18.963000000000001</v>
      </c>
      <c r="K62" s="286"/>
      <c r="L62" s="286"/>
      <c r="M62" s="286"/>
      <c r="N62" s="287"/>
      <c r="O62" s="6"/>
      <c r="P62" s="6"/>
      <c r="Q62" s="6"/>
      <c r="R62" s="241" t="s">
        <v>100</v>
      </c>
      <c r="S62" s="242" t="str">
        <f t="shared" ref="S62:Y62" si="25">IF(S28&lt;1," ",S28)</f>
        <v xml:space="preserve"> </v>
      </c>
      <c r="T62" s="243" t="str">
        <f t="shared" si="25"/>
        <v xml:space="preserve"> </v>
      </c>
      <c r="U62" s="239" t="str">
        <f t="shared" si="25"/>
        <v xml:space="preserve"> </v>
      </c>
      <c r="V62" s="239" t="str">
        <f t="shared" si="25"/>
        <v xml:space="preserve"> </v>
      </c>
      <c r="W62" s="239" t="str">
        <f t="shared" si="25"/>
        <v xml:space="preserve"> </v>
      </c>
      <c r="X62" s="239" t="str">
        <f t="shared" si="25"/>
        <v xml:space="preserve"> </v>
      </c>
      <c r="Y62" s="239" t="str">
        <f t="shared" si="25"/>
        <v/>
      </c>
      <c r="Z62" s="239" t="str">
        <f>IF(P28="X",Z28," ")</f>
        <v xml:space="preserve"> </v>
      </c>
      <c r="AA62" s="239" t="str">
        <f>IF(Q28="X",AA28," ")</f>
        <v xml:space="preserve"> </v>
      </c>
      <c r="AB62" s="244">
        <f>SUM(V28-76)</f>
        <v>-76</v>
      </c>
      <c r="AC62" s="244"/>
      <c r="AD62" s="244">
        <f>SUM(V28-87.5)</f>
        <v>-87.5</v>
      </c>
      <c r="AE62" s="244"/>
      <c r="AF62" s="242" t="str">
        <f>IF($AB28="X","X"," ")</f>
        <v xml:space="preserve"> </v>
      </c>
      <c r="AG62" s="138" t="str">
        <f t="shared" ref="AG62" si="26">IF(AH62&lt;&gt;"","P","")</f>
        <v/>
      </c>
      <c r="AH62" s="138" t="str">
        <f>IF($AC$28="SU MISURA TECNOINOX",W62-25,"")</f>
        <v/>
      </c>
      <c r="AI62" s="250">
        <f>IF($AC28&lt;&gt;"",AC28," ")</f>
        <v>0</v>
      </c>
      <c r="AJ62" s="244" t="str">
        <f t="shared" ref="AJ62" si="27">IF(AND(S28&gt;0,T62&lt;&gt;"ANTRACITE",T62&lt;&gt;"ARGENTO",T62&lt;&gt;"BIANCO",AC28&lt;&gt;0,AC28&lt;&gt;"STANDARD"),"X","")</f>
        <v/>
      </c>
      <c r="AK62" s="244" t="str">
        <f>IF($AF28&gt;1,$AF28," ")</f>
        <v xml:space="preserve"> </v>
      </c>
      <c r="AL62" s="4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</row>
    <row r="63" spans="1:62" ht="15.9" customHeight="1">
      <c r="A63" s="288">
        <v>550</v>
      </c>
      <c r="B63" s="289"/>
      <c r="C63" s="289"/>
      <c r="D63" s="290"/>
      <c r="E63" s="285">
        <v>16.821000000000002</v>
      </c>
      <c r="F63" s="286"/>
      <c r="G63" s="286"/>
      <c r="H63" s="286"/>
      <c r="I63" s="287"/>
      <c r="J63" s="285">
        <v>19.131</v>
      </c>
      <c r="K63" s="286"/>
      <c r="L63" s="286"/>
      <c r="M63" s="286"/>
      <c r="N63" s="287"/>
      <c r="O63" s="6"/>
      <c r="P63" s="6"/>
      <c r="Q63" s="6"/>
      <c r="R63" s="241"/>
      <c r="S63" s="242"/>
      <c r="T63" s="243"/>
      <c r="U63" s="239"/>
      <c r="V63" s="239"/>
      <c r="W63" s="239"/>
      <c r="X63" s="239"/>
      <c r="Y63" s="239"/>
      <c r="Z63" s="239"/>
      <c r="AA63" s="239"/>
      <c r="AB63" s="244"/>
      <c r="AC63" s="244"/>
      <c r="AD63" s="244"/>
      <c r="AE63" s="244"/>
      <c r="AF63" s="242"/>
      <c r="AG63" s="138" t="str">
        <f t="shared" ref="AG63" si="28">IF(AH63&lt;&gt;"","L","")</f>
        <v/>
      </c>
      <c r="AH63" s="138" t="str">
        <f>IF($AC$28="SU MISURA TECNOINOX",V62-255,"")</f>
        <v/>
      </c>
      <c r="AI63" s="251"/>
      <c r="AJ63" s="244"/>
      <c r="AK63" s="244"/>
      <c r="AL63" s="4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</row>
    <row r="64" spans="1:62" ht="15.9" customHeight="1">
      <c r="A64" s="288">
        <v>650</v>
      </c>
      <c r="B64" s="289"/>
      <c r="C64" s="289"/>
      <c r="D64" s="290"/>
      <c r="E64" s="285">
        <v>17.052000000000003</v>
      </c>
      <c r="F64" s="286"/>
      <c r="G64" s="286"/>
      <c r="H64" s="286"/>
      <c r="I64" s="287"/>
      <c r="J64" s="285">
        <v>19.298999999999999</v>
      </c>
      <c r="K64" s="286"/>
      <c r="L64" s="286"/>
      <c r="M64" s="286"/>
      <c r="N64" s="287"/>
      <c r="O64" s="6"/>
      <c r="P64" s="6"/>
      <c r="Q64" s="6"/>
      <c r="R64" s="241" t="s">
        <v>101</v>
      </c>
      <c r="S64" s="242" t="str">
        <f t="shared" ref="S64:Y64" si="29">IF(S30&lt;1," ",S30)</f>
        <v xml:space="preserve"> </v>
      </c>
      <c r="T64" s="243" t="str">
        <f t="shared" si="29"/>
        <v xml:space="preserve"> </v>
      </c>
      <c r="U64" s="239" t="str">
        <f t="shared" si="29"/>
        <v xml:space="preserve"> </v>
      </c>
      <c r="V64" s="239" t="str">
        <f t="shared" si="29"/>
        <v xml:space="preserve"> </v>
      </c>
      <c r="W64" s="239" t="str">
        <f t="shared" si="29"/>
        <v xml:space="preserve"> </v>
      </c>
      <c r="X64" s="239" t="str">
        <f t="shared" si="29"/>
        <v xml:space="preserve"> </v>
      </c>
      <c r="Y64" s="239" t="str">
        <f t="shared" si="29"/>
        <v/>
      </c>
      <c r="Z64" s="239" t="str">
        <f>IF(P30="X",Z30," ")</f>
        <v xml:space="preserve"> </v>
      </c>
      <c r="AA64" s="239" t="str">
        <f>IF(Q30="X",AA30," ")</f>
        <v xml:space="preserve"> </v>
      </c>
      <c r="AB64" s="244">
        <f>SUM(V30-76)</f>
        <v>-76</v>
      </c>
      <c r="AC64" s="244"/>
      <c r="AD64" s="244">
        <f>SUM(V30-87.5)</f>
        <v>-87.5</v>
      </c>
      <c r="AE64" s="244"/>
      <c r="AF64" s="242" t="str">
        <f>IF($AB30="X","X"," ")</f>
        <v xml:space="preserve"> </v>
      </c>
      <c r="AG64" s="138" t="str">
        <f t="shared" ref="AG64" si="30">IF(AH64&lt;&gt;"","P","")</f>
        <v/>
      </c>
      <c r="AH64" s="138" t="str">
        <f>IF($AC$30="SU MISURA TECNOINOX",W64-25,"")</f>
        <v/>
      </c>
      <c r="AI64" s="250">
        <f>IF($AC30&lt;&gt;"",AC30," ")</f>
        <v>0</v>
      </c>
      <c r="AJ64" s="244" t="str">
        <f t="shared" ref="AJ64" si="31">IF(AND(S30&gt;0,T64&lt;&gt;"ANTRACITE",T64&lt;&gt;"ARGENTO",T64&lt;&gt;"BIANCO",AC30&lt;&gt;0,AC30&lt;&gt;"STANDARD"),"X","")</f>
        <v/>
      </c>
      <c r="AK64" s="244" t="str">
        <f>IF($AF30&gt;1,$AF30," ")</f>
        <v xml:space="preserve"> </v>
      </c>
      <c r="AL64" s="4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</row>
    <row r="65" spans="1:62" ht="15.9" customHeight="1">
      <c r="A65" s="171"/>
      <c r="B65" s="171"/>
      <c r="C65" s="171"/>
      <c r="D65" s="171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6"/>
      <c r="P65" s="6"/>
      <c r="Q65" s="6"/>
      <c r="R65" s="241"/>
      <c r="S65" s="242"/>
      <c r="T65" s="243"/>
      <c r="U65" s="239"/>
      <c r="V65" s="239"/>
      <c r="W65" s="239"/>
      <c r="X65" s="239"/>
      <c r="Y65" s="239"/>
      <c r="Z65" s="239"/>
      <c r="AA65" s="239"/>
      <c r="AB65" s="244"/>
      <c r="AC65" s="244"/>
      <c r="AD65" s="244"/>
      <c r="AE65" s="244"/>
      <c r="AF65" s="242"/>
      <c r="AG65" s="138" t="str">
        <f t="shared" ref="AG65" si="32">IF(AH65&lt;&gt;"","L","")</f>
        <v/>
      </c>
      <c r="AH65" s="138" t="str">
        <f>IF($AC$30="SU MISURA TECNOINOX",V64-255,"")</f>
        <v/>
      </c>
      <c r="AI65" s="251"/>
      <c r="AJ65" s="244"/>
      <c r="AK65" s="244"/>
      <c r="AL65" s="4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</row>
    <row r="66" spans="1:62" ht="15.9" customHeight="1">
      <c r="A66" s="263" t="s">
        <v>5</v>
      </c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5"/>
      <c r="O66" s="6"/>
      <c r="P66" s="6"/>
      <c r="Q66" s="6"/>
      <c r="R66" s="241" t="s">
        <v>102</v>
      </c>
      <c r="S66" s="242" t="str">
        <f t="shared" ref="S66:Y66" si="33">IF(S32&lt;1," ",S32)</f>
        <v xml:space="preserve"> </v>
      </c>
      <c r="T66" s="243" t="str">
        <f t="shared" si="33"/>
        <v xml:space="preserve"> </v>
      </c>
      <c r="U66" s="239" t="str">
        <f t="shared" si="33"/>
        <v xml:space="preserve"> </v>
      </c>
      <c r="V66" s="239" t="str">
        <f t="shared" si="33"/>
        <v xml:space="preserve"> </v>
      </c>
      <c r="W66" s="239" t="str">
        <f t="shared" si="33"/>
        <v xml:space="preserve"> </v>
      </c>
      <c r="X66" s="239" t="str">
        <f t="shared" si="33"/>
        <v xml:space="preserve"> </v>
      </c>
      <c r="Y66" s="239" t="str">
        <f t="shared" si="33"/>
        <v/>
      </c>
      <c r="Z66" s="239" t="str">
        <f>IF(P32="X",Z32," ")</f>
        <v xml:space="preserve"> </v>
      </c>
      <c r="AA66" s="239" t="str">
        <f>IF(Q32="X",AA32," ")</f>
        <v xml:space="preserve"> </v>
      </c>
      <c r="AB66" s="244">
        <f>SUM(V32-76)</f>
        <v>-76</v>
      </c>
      <c r="AC66" s="244"/>
      <c r="AD66" s="244">
        <f>SUM(V32-87.5)</f>
        <v>-87.5</v>
      </c>
      <c r="AE66" s="244"/>
      <c r="AF66" s="242" t="str">
        <f>IF($AB32="X","X"," ")</f>
        <v xml:space="preserve"> </v>
      </c>
      <c r="AG66" s="138" t="str">
        <f t="shared" ref="AG66" si="34">IF(AH66&lt;&gt;"","P","")</f>
        <v/>
      </c>
      <c r="AH66" s="138" t="str">
        <f>IF($AC$32="SU MISURA TECNOINOX",W66-25,"")</f>
        <v/>
      </c>
      <c r="AI66" s="250">
        <f>IF($AC32&lt;&gt;"",AC32," ")</f>
        <v>0</v>
      </c>
      <c r="AJ66" s="244" t="str">
        <f t="shared" ref="AJ66" si="35">IF(AND(S32&gt;0,T66&lt;&gt;"ANTRACITE",T66&lt;&gt;"ARGENTO",T66&lt;&gt;"BIANCO",AC32&lt;&gt;0,AC32&lt;&gt;"STANDARD"),"X","")</f>
        <v/>
      </c>
      <c r="AK66" s="244" t="str">
        <f>IF($AF32&gt;1,$AF32," ")</f>
        <v xml:space="preserve"> </v>
      </c>
      <c r="AL66" s="4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</row>
    <row r="67" spans="1:62" ht="15.9" customHeight="1">
      <c r="A67" s="326" t="s">
        <v>0</v>
      </c>
      <c r="B67" s="327"/>
      <c r="C67" s="327"/>
      <c r="D67" s="328"/>
      <c r="E67" s="329" t="s">
        <v>3</v>
      </c>
      <c r="F67" s="330"/>
      <c r="G67" s="330"/>
      <c r="H67" s="330"/>
      <c r="I67" s="330"/>
      <c r="J67" s="330"/>
      <c r="K67" s="330"/>
      <c r="L67" s="330"/>
      <c r="M67" s="330"/>
      <c r="N67" s="331"/>
      <c r="O67" s="6"/>
      <c r="P67" s="6"/>
      <c r="Q67" s="6"/>
      <c r="R67" s="241"/>
      <c r="S67" s="242"/>
      <c r="T67" s="243"/>
      <c r="U67" s="239"/>
      <c r="V67" s="239"/>
      <c r="W67" s="239"/>
      <c r="X67" s="239"/>
      <c r="Y67" s="239"/>
      <c r="Z67" s="239"/>
      <c r="AA67" s="239"/>
      <c r="AB67" s="244"/>
      <c r="AC67" s="244"/>
      <c r="AD67" s="244"/>
      <c r="AE67" s="244"/>
      <c r="AF67" s="242"/>
      <c r="AG67" s="138" t="str">
        <f t="shared" ref="AG67" si="36">IF(AH67&lt;&gt;"","L","")</f>
        <v/>
      </c>
      <c r="AH67" s="138" t="str">
        <f>IF($AC$32="SU MISURA TECNOINOX",V66-255,"")</f>
        <v/>
      </c>
      <c r="AI67" s="251"/>
      <c r="AJ67" s="244"/>
      <c r="AK67" s="244"/>
      <c r="AL67" s="4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</row>
    <row r="68" spans="1:62" ht="15.9" customHeight="1">
      <c r="A68" s="323" t="s">
        <v>1</v>
      </c>
      <c r="B68" s="324"/>
      <c r="C68" s="324"/>
      <c r="D68" s="325"/>
      <c r="E68" s="288">
        <v>92</v>
      </c>
      <c r="F68" s="289"/>
      <c r="G68" s="289"/>
      <c r="H68" s="289"/>
      <c r="I68" s="290"/>
      <c r="J68" s="288">
        <v>124</v>
      </c>
      <c r="K68" s="289"/>
      <c r="L68" s="289"/>
      <c r="M68" s="289"/>
      <c r="N68" s="290"/>
      <c r="O68" s="6"/>
      <c r="P68" s="6"/>
      <c r="Q68" s="6"/>
      <c r="R68" s="241" t="s">
        <v>103</v>
      </c>
      <c r="S68" s="242" t="str">
        <f t="shared" ref="S68:Y68" si="37">IF(S34&lt;1," ",S34)</f>
        <v xml:space="preserve"> </v>
      </c>
      <c r="T68" s="243" t="str">
        <f t="shared" si="37"/>
        <v xml:space="preserve"> </v>
      </c>
      <c r="U68" s="239" t="str">
        <f t="shared" si="37"/>
        <v xml:space="preserve"> </v>
      </c>
      <c r="V68" s="239" t="str">
        <f t="shared" si="37"/>
        <v xml:space="preserve"> </v>
      </c>
      <c r="W68" s="239" t="str">
        <f t="shared" si="37"/>
        <v xml:space="preserve"> </v>
      </c>
      <c r="X68" s="239" t="str">
        <f t="shared" si="37"/>
        <v xml:space="preserve"> </v>
      </c>
      <c r="Y68" s="239" t="str">
        <f t="shared" si="37"/>
        <v/>
      </c>
      <c r="Z68" s="239" t="str">
        <f>IF(P34="X",Z34," ")</f>
        <v xml:space="preserve"> </v>
      </c>
      <c r="AA68" s="239" t="str">
        <f>IF(Q34="X",AA34," ")</f>
        <v xml:space="preserve"> </v>
      </c>
      <c r="AB68" s="244">
        <f>SUM(V34-76)</f>
        <v>-76</v>
      </c>
      <c r="AC68" s="244"/>
      <c r="AD68" s="244">
        <f>SUM(V34-87.5)</f>
        <v>-87.5</v>
      </c>
      <c r="AE68" s="244"/>
      <c r="AF68" s="242" t="str">
        <f>IF($AB34="X","X"," ")</f>
        <v xml:space="preserve"> </v>
      </c>
      <c r="AG68" s="138" t="str">
        <f t="shared" ref="AG68" si="38">IF(AH68&lt;&gt;"","P","")</f>
        <v/>
      </c>
      <c r="AH68" s="138" t="str">
        <f>IF($AC$34="SU MISURA TECNOINOX",W68-25,"")</f>
        <v/>
      </c>
      <c r="AI68" s="250">
        <f>IF($AC34&lt;&gt;"",AC34," ")</f>
        <v>0</v>
      </c>
      <c r="AJ68" s="244" t="str">
        <f t="shared" ref="AJ68" si="39">IF(AND(S34&gt;0,T68&lt;&gt;"ANTRACITE",T68&lt;&gt;"ARGENTO",T68&lt;&gt;"BIANCO",AC34&lt;&gt;0,AC34&lt;&gt;"STANDARD"),"X","")</f>
        <v/>
      </c>
      <c r="AK68" s="244" t="str">
        <f>IF($AF34&gt;1,$AF34," ")</f>
        <v xml:space="preserve"> </v>
      </c>
      <c r="AL68" s="4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</row>
    <row r="69" spans="1:62" ht="15.9" customHeight="1">
      <c r="A69" s="288">
        <v>270</v>
      </c>
      <c r="B69" s="289"/>
      <c r="C69" s="289"/>
      <c r="D69" s="290"/>
      <c r="E69" s="285">
        <v>23.016000000000005</v>
      </c>
      <c r="F69" s="286"/>
      <c r="G69" s="286"/>
      <c r="H69" s="286"/>
      <c r="I69" s="287"/>
      <c r="J69" s="285">
        <v>27.520500000000006</v>
      </c>
      <c r="K69" s="286"/>
      <c r="L69" s="286"/>
      <c r="M69" s="286"/>
      <c r="N69" s="287"/>
      <c r="O69" s="6"/>
      <c r="P69" s="6"/>
      <c r="Q69" s="6"/>
      <c r="R69" s="241"/>
      <c r="S69" s="242"/>
      <c r="T69" s="243"/>
      <c r="U69" s="239"/>
      <c r="V69" s="239"/>
      <c r="W69" s="239"/>
      <c r="X69" s="239"/>
      <c r="Y69" s="239"/>
      <c r="Z69" s="239"/>
      <c r="AA69" s="239"/>
      <c r="AB69" s="244"/>
      <c r="AC69" s="244"/>
      <c r="AD69" s="244"/>
      <c r="AE69" s="244"/>
      <c r="AF69" s="242"/>
      <c r="AG69" s="138" t="str">
        <f t="shared" ref="AG69" si="40">IF(AH69&lt;&gt;"","L","")</f>
        <v/>
      </c>
      <c r="AH69" s="138" t="str">
        <f>IF($AC$34="SU MISURA TECNOINOX",V68-255,"")</f>
        <v/>
      </c>
      <c r="AI69" s="251"/>
      <c r="AJ69" s="244"/>
      <c r="AK69" s="244"/>
      <c r="AL69" s="4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</row>
    <row r="70" spans="1:62" ht="15.9" customHeight="1">
      <c r="A70" s="288">
        <v>300</v>
      </c>
      <c r="B70" s="289"/>
      <c r="C70" s="289"/>
      <c r="D70" s="290"/>
      <c r="E70" s="285">
        <v>23.141999999999999</v>
      </c>
      <c r="F70" s="286"/>
      <c r="G70" s="286"/>
      <c r="H70" s="286"/>
      <c r="I70" s="287"/>
      <c r="J70" s="285">
        <v>27.657000000000004</v>
      </c>
      <c r="K70" s="286"/>
      <c r="L70" s="286"/>
      <c r="M70" s="286"/>
      <c r="N70" s="287"/>
      <c r="O70" s="6"/>
      <c r="P70" s="6"/>
      <c r="Q70" s="6"/>
      <c r="R70" s="241" t="s">
        <v>104</v>
      </c>
      <c r="S70" s="242" t="str">
        <f t="shared" ref="S70:Y70" si="41">IF(S36&lt;1," ",S36)</f>
        <v xml:space="preserve"> </v>
      </c>
      <c r="T70" s="243" t="str">
        <f t="shared" si="41"/>
        <v xml:space="preserve"> </v>
      </c>
      <c r="U70" s="239" t="str">
        <f t="shared" si="41"/>
        <v xml:space="preserve"> </v>
      </c>
      <c r="V70" s="239" t="str">
        <f t="shared" si="41"/>
        <v xml:space="preserve"> </v>
      </c>
      <c r="W70" s="239" t="str">
        <f t="shared" si="41"/>
        <v xml:space="preserve"> </v>
      </c>
      <c r="X70" s="239" t="str">
        <f t="shared" si="41"/>
        <v xml:space="preserve"> </v>
      </c>
      <c r="Y70" s="239" t="str">
        <f t="shared" si="41"/>
        <v/>
      </c>
      <c r="Z70" s="239" t="str">
        <f>IF(P36="X",Z36," ")</f>
        <v xml:space="preserve"> </v>
      </c>
      <c r="AA70" s="239" t="str">
        <f>IF(Q36="X",AA36," ")</f>
        <v xml:space="preserve"> </v>
      </c>
      <c r="AB70" s="244">
        <f>SUM(V36-76)</f>
        <v>-76</v>
      </c>
      <c r="AC70" s="244"/>
      <c r="AD70" s="244">
        <f>SUM(V36-87.5)</f>
        <v>-87.5</v>
      </c>
      <c r="AE70" s="244"/>
      <c r="AF70" s="242" t="str">
        <f>IF($AB36="X","X"," ")</f>
        <v xml:space="preserve"> </v>
      </c>
      <c r="AG70" s="138" t="str">
        <f t="shared" ref="AG70" si="42">IF(AH70&lt;&gt;"","P","")</f>
        <v/>
      </c>
      <c r="AH70" s="138" t="str">
        <f>IF($AC$36="SU MISURA TECNOINOX",W70-25,"")</f>
        <v/>
      </c>
      <c r="AI70" s="250">
        <f>IF($AC36&lt;&gt;"",AC36," ")</f>
        <v>0</v>
      </c>
      <c r="AJ70" s="244" t="str">
        <f t="shared" ref="AJ70" si="43">IF(AND(S36&gt;0,T70&lt;&gt;"ANTRACITE",T70&lt;&gt;"ARGENTO",T70&lt;&gt;"BIANCO",AC36&lt;&gt;0,AC36&lt;&gt;"STANDARD"),"X","")</f>
        <v/>
      </c>
      <c r="AK70" s="244" t="str">
        <f>IF($AF36&gt;1,$AF36," ")</f>
        <v xml:space="preserve"> </v>
      </c>
      <c r="AL70" s="4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</row>
    <row r="71" spans="1:62" ht="15.9" customHeight="1">
      <c r="A71" s="288">
        <v>350</v>
      </c>
      <c r="B71" s="289"/>
      <c r="C71" s="289"/>
      <c r="D71" s="290"/>
      <c r="E71" s="285">
        <v>23.247</v>
      </c>
      <c r="F71" s="286"/>
      <c r="G71" s="286"/>
      <c r="H71" s="286"/>
      <c r="I71" s="287"/>
      <c r="J71" s="285">
        <v>27.762000000000004</v>
      </c>
      <c r="K71" s="286"/>
      <c r="L71" s="286"/>
      <c r="M71" s="286"/>
      <c r="N71" s="287"/>
      <c r="O71" s="6"/>
      <c r="P71" s="6"/>
      <c r="Q71" s="6"/>
      <c r="R71" s="241"/>
      <c r="S71" s="242"/>
      <c r="T71" s="243"/>
      <c r="U71" s="239"/>
      <c r="V71" s="239"/>
      <c r="W71" s="239"/>
      <c r="X71" s="239"/>
      <c r="Y71" s="239"/>
      <c r="Z71" s="239"/>
      <c r="AA71" s="239"/>
      <c r="AB71" s="244"/>
      <c r="AC71" s="244"/>
      <c r="AD71" s="244"/>
      <c r="AE71" s="244"/>
      <c r="AF71" s="242"/>
      <c r="AG71" s="138" t="str">
        <f t="shared" ref="AG71" si="44">IF(AH71&lt;&gt;"","L","")</f>
        <v/>
      </c>
      <c r="AH71" s="138" t="str">
        <f>IF($AC$36="SU MISURA TECNOINOX",V70-255,"")</f>
        <v/>
      </c>
      <c r="AI71" s="251"/>
      <c r="AJ71" s="244"/>
      <c r="AK71" s="244"/>
      <c r="AL71" s="4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</row>
    <row r="72" spans="1:62" ht="15.9" customHeight="1">
      <c r="A72" s="288">
        <v>400</v>
      </c>
      <c r="B72" s="289"/>
      <c r="C72" s="289"/>
      <c r="D72" s="290"/>
      <c r="E72" s="285">
        <v>23.362500000000001</v>
      </c>
      <c r="F72" s="286"/>
      <c r="G72" s="286"/>
      <c r="H72" s="286"/>
      <c r="I72" s="287"/>
      <c r="J72" s="285">
        <v>27.888000000000002</v>
      </c>
      <c r="K72" s="286"/>
      <c r="L72" s="286"/>
      <c r="M72" s="286"/>
      <c r="N72" s="287"/>
      <c r="O72" s="6"/>
      <c r="P72" s="6"/>
      <c r="Q72" s="6"/>
      <c r="R72" s="241" t="s">
        <v>9</v>
      </c>
      <c r="S72" s="242" t="str">
        <f t="shared" ref="S72:Y72" si="45">IF(S38&lt;1," ",S38)</f>
        <v xml:space="preserve"> </v>
      </c>
      <c r="T72" s="243" t="str">
        <f t="shared" si="45"/>
        <v xml:space="preserve"> </v>
      </c>
      <c r="U72" s="239" t="str">
        <f t="shared" si="45"/>
        <v xml:space="preserve"> </v>
      </c>
      <c r="V72" s="239" t="str">
        <f t="shared" si="45"/>
        <v xml:space="preserve"> </v>
      </c>
      <c r="W72" s="239" t="str">
        <f t="shared" si="45"/>
        <v xml:space="preserve"> </v>
      </c>
      <c r="X72" s="239" t="str">
        <f t="shared" si="45"/>
        <v xml:space="preserve"> </v>
      </c>
      <c r="Y72" s="239" t="str">
        <f t="shared" si="45"/>
        <v/>
      </c>
      <c r="Z72" s="239" t="str">
        <f>IF(P38="X",Z38," ")</f>
        <v xml:space="preserve"> </v>
      </c>
      <c r="AA72" s="239" t="str">
        <f>IF(Q38="X",AA38," ")</f>
        <v xml:space="preserve"> </v>
      </c>
      <c r="AB72" s="244">
        <f>SUM(V38-76)</f>
        <v>-76</v>
      </c>
      <c r="AC72" s="244"/>
      <c r="AD72" s="244">
        <f>SUM(V38-87.5)</f>
        <v>-87.5</v>
      </c>
      <c r="AE72" s="244"/>
      <c r="AF72" s="242" t="str">
        <f>IF($AB38="X","X"," ")</f>
        <v xml:space="preserve"> </v>
      </c>
      <c r="AG72" s="138" t="str">
        <f t="shared" ref="AG72" si="46">IF(AH72&lt;&gt;"","P","")</f>
        <v/>
      </c>
      <c r="AH72" s="138" t="str">
        <f>IF($AC$38="SU MISURA TECNOINOX",W72-25,"")</f>
        <v/>
      </c>
      <c r="AI72" s="250">
        <f>IF($AC38&lt;&gt;"",AC38," ")</f>
        <v>0</v>
      </c>
      <c r="AJ72" s="244" t="str">
        <f t="shared" ref="AJ72" si="47">IF(AND(S38&gt;0,T72&lt;&gt;"ANTRACITE",T72&lt;&gt;"ARGENTO",T72&lt;&gt;"BIANCO",AC38&lt;&gt;0,AC38&lt;&gt;"STANDARD"),"X","")</f>
        <v/>
      </c>
      <c r="AK72" s="244" t="str">
        <f>IF($AF38&gt;1,$AF38," ")</f>
        <v xml:space="preserve"> </v>
      </c>
      <c r="AL72" s="4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</row>
    <row r="73" spans="1:62" ht="15.9" customHeight="1">
      <c r="A73" s="288">
        <v>450</v>
      </c>
      <c r="B73" s="289"/>
      <c r="C73" s="289"/>
      <c r="D73" s="290"/>
      <c r="E73" s="285">
        <v>23.362500000000001</v>
      </c>
      <c r="F73" s="286"/>
      <c r="G73" s="286"/>
      <c r="H73" s="286"/>
      <c r="I73" s="287"/>
      <c r="J73" s="285">
        <v>27.888000000000002</v>
      </c>
      <c r="K73" s="286"/>
      <c r="L73" s="286"/>
      <c r="M73" s="286"/>
      <c r="N73" s="287"/>
      <c r="O73" s="6"/>
      <c r="P73" s="6"/>
      <c r="Q73" s="6"/>
      <c r="R73" s="241"/>
      <c r="S73" s="242"/>
      <c r="T73" s="243"/>
      <c r="U73" s="239"/>
      <c r="V73" s="239"/>
      <c r="W73" s="239"/>
      <c r="X73" s="239"/>
      <c r="Y73" s="239"/>
      <c r="Z73" s="239"/>
      <c r="AA73" s="239"/>
      <c r="AB73" s="244"/>
      <c r="AC73" s="244"/>
      <c r="AD73" s="244"/>
      <c r="AE73" s="244"/>
      <c r="AF73" s="242"/>
      <c r="AG73" s="138" t="str">
        <f t="shared" ref="AG73" si="48">IF(AH73&lt;&gt;"","L","")</f>
        <v/>
      </c>
      <c r="AH73" s="138" t="str">
        <f>IF($AC$38="SU MISURA TECNOINOX",V72-255,"")</f>
        <v/>
      </c>
      <c r="AI73" s="251"/>
      <c r="AJ73" s="244"/>
      <c r="AK73" s="244"/>
      <c r="AL73" s="4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</row>
    <row r="74" spans="1:62" ht="15.9" customHeight="1">
      <c r="A74" s="288">
        <v>500</v>
      </c>
      <c r="B74" s="289"/>
      <c r="C74" s="289"/>
      <c r="D74" s="290"/>
      <c r="E74" s="285">
        <v>23.467500000000005</v>
      </c>
      <c r="F74" s="286"/>
      <c r="G74" s="286"/>
      <c r="H74" s="286"/>
      <c r="I74" s="287"/>
      <c r="J74" s="285">
        <v>28.003500000000006</v>
      </c>
      <c r="K74" s="286"/>
      <c r="L74" s="286"/>
      <c r="M74" s="286"/>
      <c r="N74" s="287"/>
      <c r="O74" s="6"/>
      <c r="P74" s="6"/>
      <c r="Q74" s="6"/>
      <c r="R74" s="241" t="s">
        <v>105</v>
      </c>
      <c r="S74" s="242" t="str">
        <f t="shared" ref="S74:Y74" si="49">IF(S40&lt;1," ",S40)</f>
        <v xml:space="preserve"> </v>
      </c>
      <c r="T74" s="243" t="str">
        <f t="shared" si="49"/>
        <v xml:space="preserve"> </v>
      </c>
      <c r="U74" s="239" t="str">
        <f t="shared" si="49"/>
        <v xml:space="preserve"> </v>
      </c>
      <c r="V74" s="239" t="str">
        <f t="shared" si="49"/>
        <v xml:space="preserve"> </v>
      </c>
      <c r="W74" s="239" t="str">
        <f t="shared" si="49"/>
        <v xml:space="preserve"> </v>
      </c>
      <c r="X74" s="239" t="str">
        <f t="shared" si="49"/>
        <v xml:space="preserve"> </v>
      </c>
      <c r="Y74" s="239" t="str">
        <f t="shared" si="49"/>
        <v/>
      </c>
      <c r="Z74" s="239" t="str">
        <f>IF(P40="X",Z40," ")</f>
        <v xml:space="preserve"> </v>
      </c>
      <c r="AA74" s="239" t="str">
        <f>IF(Q40="X",AA40," ")</f>
        <v xml:space="preserve"> </v>
      </c>
      <c r="AB74" s="244">
        <f>SUM(V40-76)</f>
        <v>-76</v>
      </c>
      <c r="AC74" s="244"/>
      <c r="AD74" s="244">
        <f>SUM(V40-87.5)</f>
        <v>-87.5</v>
      </c>
      <c r="AE74" s="244"/>
      <c r="AF74" s="242" t="str">
        <f>IF($AB40="X","X"," ")</f>
        <v xml:space="preserve"> </v>
      </c>
      <c r="AG74" s="138" t="str">
        <f t="shared" ref="AG74" si="50">IF(AH74&lt;&gt;"","P","")</f>
        <v/>
      </c>
      <c r="AH74" s="138" t="str">
        <f>IF($AC$40="SU MISURA TECNOINOX",W74-25,"")</f>
        <v/>
      </c>
      <c r="AI74" s="250">
        <f>IF($AC40&lt;&gt;"",AC40," ")</f>
        <v>0</v>
      </c>
      <c r="AJ74" s="244" t="str">
        <f t="shared" ref="AJ74" si="51">IF(AND(S40&gt;0,T74&lt;&gt;"ANTRACITE",T74&lt;&gt;"ARGENTO",T74&lt;&gt;"BIANCO",AC40&lt;&gt;0,AC40&lt;&gt;"STANDARD"),"X","")</f>
        <v/>
      </c>
      <c r="AK74" s="244" t="str">
        <f>IF($AF40&gt;1,$AF40," ")</f>
        <v xml:space="preserve"> </v>
      </c>
      <c r="AL74" s="4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</row>
    <row r="75" spans="1:62" ht="15.9" customHeight="1">
      <c r="A75" s="288">
        <v>550</v>
      </c>
      <c r="B75" s="289"/>
      <c r="C75" s="289"/>
      <c r="D75" s="290"/>
      <c r="E75" s="285">
        <v>23.593500000000002</v>
      </c>
      <c r="F75" s="286"/>
      <c r="G75" s="286"/>
      <c r="H75" s="286"/>
      <c r="I75" s="287"/>
      <c r="J75" s="285">
        <v>28.108500000000006</v>
      </c>
      <c r="K75" s="286"/>
      <c r="L75" s="286"/>
      <c r="M75" s="286"/>
      <c r="N75" s="287"/>
      <c r="O75" s="6"/>
      <c r="P75" s="6"/>
      <c r="Q75" s="6"/>
      <c r="R75" s="241"/>
      <c r="S75" s="242"/>
      <c r="T75" s="243"/>
      <c r="U75" s="239"/>
      <c r="V75" s="239"/>
      <c r="W75" s="239"/>
      <c r="X75" s="239"/>
      <c r="Y75" s="239"/>
      <c r="Z75" s="239"/>
      <c r="AA75" s="239"/>
      <c r="AB75" s="244"/>
      <c r="AC75" s="244"/>
      <c r="AD75" s="244"/>
      <c r="AE75" s="244"/>
      <c r="AF75" s="242"/>
      <c r="AG75" s="138" t="str">
        <f t="shared" ref="AG75" si="52">IF(AH75&lt;&gt;"","L","")</f>
        <v/>
      </c>
      <c r="AH75" s="138" t="str">
        <f>IF($AC$40="SU MISURA TECNOINOX",V74-255,"")</f>
        <v/>
      </c>
      <c r="AI75" s="251"/>
      <c r="AJ75" s="244"/>
      <c r="AK75" s="244"/>
      <c r="AL75" s="4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</row>
    <row r="76" spans="1:62" ht="15.9" customHeight="1">
      <c r="A76" s="288">
        <v>650</v>
      </c>
      <c r="B76" s="289"/>
      <c r="C76" s="289"/>
      <c r="D76" s="290"/>
      <c r="E76" s="285">
        <v>23.814</v>
      </c>
      <c r="F76" s="286"/>
      <c r="G76" s="286"/>
      <c r="H76" s="286"/>
      <c r="I76" s="287"/>
      <c r="J76" s="285">
        <v>28.2135</v>
      </c>
      <c r="K76" s="286"/>
      <c r="L76" s="286"/>
      <c r="M76" s="286"/>
      <c r="N76" s="287"/>
      <c r="O76" s="6"/>
      <c r="P76" s="6"/>
      <c r="Q76" s="6"/>
      <c r="R76" s="241" t="s">
        <v>106</v>
      </c>
      <c r="S76" s="242" t="str">
        <f t="shared" ref="S76:Y76" si="53">IF(S42&lt;1," ",S42)</f>
        <v xml:space="preserve"> </v>
      </c>
      <c r="T76" s="243" t="str">
        <f t="shared" si="53"/>
        <v xml:space="preserve"> </v>
      </c>
      <c r="U76" s="239" t="str">
        <f t="shared" si="53"/>
        <v xml:space="preserve"> </v>
      </c>
      <c r="V76" s="239" t="str">
        <f t="shared" si="53"/>
        <v xml:space="preserve"> </v>
      </c>
      <c r="W76" s="239" t="str">
        <f t="shared" si="53"/>
        <v xml:space="preserve"> </v>
      </c>
      <c r="X76" s="239" t="str">
        <f t="shared" si="53"/>
        <v xml:space="preserve"> </v>
      </c>
      <c r="Y76" s="239" t="str">
        <f t="shared" si="53"/>
        <v/>
      </c>
      <c r="Z76" s="239" t="str">
        <f>IF(P42="X",Z42," ")</f>
        <v xml:space="preserve"> </v>
      </c>
      <c r="AA76" s="239" t="str">
        <f>IF(Q42="X",AA42," ")</f>
        <v xml:space="preserve"> </v>
      </c>
      <c r="AB76" s="244">
        <f>SUM(V42-76)</f>
        <v>-76</v>
      </c>
      <c r="AC76" s="244"/>
      <c r="AD76" s="244">
        <f>SUM(V42-87.5)</f>
        <v>-87.5</v>
      </c>
      <c r="AE76" s="244"/>
      <c r="AF76" s="242" t="str">
        <f>IF($AB42="X","X"," ")</f>
        <v xml:space="preserve"> </v>
      </c>
      <c r="AG76" s="138" t="str">
        <f t="shared" ref="AG76" si="54">IF(AH76&lt;&gt;"","P","")</f>
        <v/>
      </c>
      <c r="AH76" s="138" t="str">
        <f>IF($AC$42="SU MISURA TECNOINOX",W76-25,"")</f>
        <v/>
      </c>
      <c r="AI76" s="250">
        <f>IF($AC42&lt;&gt;"",AC42," ")</f>
        <v>0</v>
      </c>
      <c r="AJ76" s="244" t="str">
        <f t="shared" ref="AJ76" si="55">IF(AND(S42&gt;0,T76&lt;&gt;"ANTRACITE",T76&lt;&gt;"ARGENTO",T76&lt;&gt;"BIANCO",AC42&lt;&gt;0,AC42&lt;&gt;"STANDARD"),"X","")</f>
        <v/>
      </c>
      <c r="AK76" s="244" t="str">
        <f>IF($AF42&gt;1,$AF42," ")</f>
        <v xml:space="preserve"> </v>
      </c>
      <c r="AL76" s="4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</row>
    <row r="77" spans="1:62" ht="15.9" customHeigh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6"/>
      <c r="P77" s="6"/>
      <c r="Q77" s="6"/>
      <c r="R77" s="241"/>
      <c r="S77" s="242"/>
      <c r="T77" s="243"/>
      <c r="U77" s="239"/>
      <c r="V77" s="239"/>
      <c r="W77" s="239"/>
      <c r="X77" s="239"/>
      <c r="Y77" s="239"/>
      <c r="Z77" s="239"/>
      <c r="AA77" s="239"/>
      <c r="AB77" s="244"/>
      <c r="AC77" s="244"/>
      <c r="AD77" s="244"/>
      <c r="AE77" s="244"/>
      <c r="AF77" s="242"/>
      <c r="AG77" s="138" t="str">
        <f t="shared" ref="AG77" si="56">IF(AH77&lt;&gt;"","L","")</f>
        <v/>
      </c>
      <c r="AH77" s="138" t="str">
        <f>IF($AC$42="SU MISURA TECNOINOX",V76-255,"")</f>
        <v/>
      </c>
      <c r="AI77" s="251"/>
      <c r="AJ77" s="244"/>
      <c r="AK77" s="244"/>
      <c r="AL77" s="4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</row>
    <row r="78" spans="1:62" ht="15.9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6"/>
      <c r="P78" s="6"/>
      <c r="Q78" s="6"/>
      <c r="R78" s="241" t="s">
        <v>112</v>
      </c>
      <c r="S78" s="242" t="str">
        <f t="shared" ref="S78:Y78" si="57">IF(S44&lt;1," ",S44)</f>
        <v xml:space="preserve"> </v>
      </c>
      <c r="T78" s="243" t="str">
        <f t="shared" si="57"/>
        <v xml:space="preserve"> </v>
      </c>
      <c r="U78" s="239" t="str">
        <f t="shared" si="57"/>
        <v xml:space="preserve"> </v>
      </c>
      <c r="V78" s="239" t="str">
        <f t="shared" si="57"/>
        <v xml:space="preserve"> </v>
      </c>
      <c r="W78" s="239" t="str">
        <f t="shared" si="57"/>
        <v xml:space="preserve"> </v>
      </c>
      <c r="X78" s="239" t="str">
        <f t="shared" si="57"/>
        <v xml:space="preserve"> </v>
      </c>
      <c r="Y78" s="239" t="str">
        <f t="shared" si="57"/>
        <v/>
      </c>
      <c r="Z78" s="239" t="str">
        <f>IF(P44="X",Z44," ")</f>
        <v xml:space="preserve"> </v>
      </c>
      <c r="AA78" s="239" t="str">
        <f>IF(Q44="X",AA44," ")</f>
        <v xml:space="preserve"> </v>
      </c>
      <c r="AB78" s="244">
        <f>SUM(V44-76)</f>
        <v>-76</v>
      </c>
      <c r="AC78" s="244"/>
      <c r="AD78" s="244">
        <f>SUM(V44-87.5)</f>
        <v>-87.5</v>
      </c>
      <c r="AE78" s="244"/>
      <c r="AF78" s="242" t="str">
        <f>IF($AB44="X","X"," ")</f>
        <v xml:space="preserve"> </v>
      </c>
      <c r="AG78" s="138" t="str">
        <f t="shared" ref="AG78" si="58">IF(AH78&lt;&gt;"","P","")</f>
        <v/>
      </c>
      <c r="AH78" s="138" t="str">
        <f>IF($AC$44="SU MISURA TECNOINOX",W78-25,"")</f>
        <v/>
      </c>
      <c r="AI78" s="250">
        <f>IF($AC44&lt;&gt;"",AC44," ")</f>
        <v>0</v>
      </c>
      <c r="AJ78" s="244" t="str">
        <f t="shared" ref="AJ78" si="59">IF(AND(S44&gt;0,T78&lt;&gt;"ANTRACITE",T78&lt;&gt;"ARGENTO",T78&lt;&gt;"BIANCO",AC44&lt;&gt;0,AC44&lt;&gt;"STANDARD"),"X","")</f>
        <v/>
      </c>
      <c r="AK78" s="244" t="str">
        <f>IF($AF44&gt;1,$AF44," ")</f>
        <v xml:space="preserve"> </v>
      </c>
      <c r="AL78" s="4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</row>
    <row r="79" spans="1:62" ht="15.9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6"/>
      <c r="P79" s="6"/>
      <c r="Q79" s="6"/>
      <c r="R79" s="241"/>
      <c r="S79" s="242"/>
      <c r="T79" s="243"/>
      <c r="U79" s="239"/>
      <c r="V79" s="239"/>
      <c r="W79" s="239"/>
      <c r="X79" s="239"/>
      <c r="Y79" s="239"/>
      <c r="Z79" s="239"/>
      <c r="AA79" s="239"/>
      <c r="AB79" s="244"/>
      <c r="AC79" s="244"/>
      <c r="AD79" s="244"/>
      <c r="AE79" s="244"/>
      <c r="AF79" s="242"/>
      <c r="AG79" s="138" t="str">
        <f t="shared" ref="AG79" si="60">IF(AH79&lt;&gt;"","L","")</f>
        <v/>
      </c>
      <c r="AH79" s="138" t="str">
        <f>IF($AC$44="SU MISURA TECNOINOX",V78-255,"")</f>
        <v/>
      </c>
      <c r="AI79" s="251"/>
      <c r="AJ79" s="244"/>
      <c r="AK79" s="244"/>
      <c r="AL79" s="4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</row>
    <row r="80" spans="1:62" ht="15.9" customHeight="1">
      <c r="A80" s="263" t="s">
        <v>84</v>
      </c>
      <c r="B80" s="264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6"/>
      <c r="P80" s="6"/>
      <c r="Q80" s="6"/>
      <c r="S80" s="262" t="s">
        <v>22</v>
      </c>
      <c r="T80" s="262"/>
      <c r="U80" s="267">
        <f>MODULO!C18</f>
        <v>0</v>
      </c>
      <c r="V80" s="267"/>
      <c r="W80" s="267"/>
      <c r="X80" s="267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47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</row>
    <row r="81" spans="1:62" ht="15.9" customHeight="1">
      <c r="A81" s="311" t="s">
        <v>4</v>
      </c>
      <c r="B81" s="313"/>
      <c r="C81" s="292">
        <v>300</v>
      </c>
      <c r="D81" s="293"/>
      <c r="E81" s="292">
        <v>400</v>
      </c>
      <c r="F81" s="293"/>
      <c r="G81" s="292">
        <v>450</v>
      </c>
      <c r="H81" s="293"/>
      <c r="I81" s="292">
        <v>600</v>
      </c>
      <c r="J81" s="293"/>
      <c r="K81" s="292">
        <v>900</v>
      </c>
      <c r="L81" s="293"/>
      <c r="M81" s="292">
        <v>1200</v>
      </c>
      <c r="N81" s="293"/>
      <c r="O81" s="6"/>
      <c r="P81" s="6"/>
      <c r="Q81" s="6"/>
      <c r="S81" s="262"/>
      <c r="T81" s="262"/>
      <c r="U81" s="267"/>
      <c r="V81" s="267"/>
      <c r="W81" s="267"/>
      <c r="X81" s="267"/>
      <c r="Y81" s="267"/>
      <c r="Z81" s="267"/>
      <c r="AA81" s="267"/>
      <c r="AB81" s="267"/>
      <c r="AC81" s="267"/>
      <c r="AD81" s="267"/>
      <c r="AE81" s="267"/>
      <c r="AF81" s="267"/>
      <c r="AG81" s="267"/>
      <c r="AH81" s="267"/>
      <c r="AI81" s="267"/>
      <c r="AJ81" s="267"/>
      <c r="AK81" s="267"/>
      <c r="AL81" s="47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</row>
    <row r="82" spans="1:62" ht="15" customHeight="1">
      <c r="A82" s="292">
        <v>270</v>
      </c>
      <c r="B82" s="293"/>
      <c r="C82" s="283">
        <v>1.4489999999999998</v>
      </c>
      <c r="D82" s="284"/>
      <c r="E82" s="283">
        <v>2.3344999999999998</v>
      </c>
      <c r="F82" s="284"/>
      <c r="G82" s="283">
        <v>2.9094999999999995</v>
      </c>
      <c r="H82" s="284"/>
      <c r="I82" s="283">
        <v>3.8754999999999997</v>
      </c>
      <c r="J82" s="284"/>
      <c r="K82" s="283">
        <v>5.8189999999999991</v>
      </c>
      <c r="L82" s="284"/>
      <c r="M82" s="283">
        <v>6.6584999999999992</v>
      </c>
      <c r="N82" s="284"/>
      <c r="O82" s="6"/>
      <c r="P82" s="6"/>
      <c r="Q82" s="6"/>
      <c r="S82" s="249" t="str">
        <f>MODULO!B19</f>
        <v/>
      </c>
      <c r="T82" s="249"/>
      <c r="U82" s="249"/>
      <c r="V82" s="249"/>
      <c r="W82" s="249"/>
      <c r="X82" s="249"/>
      <c r="Y82" s="249"/>
      <c r="Z82" s="196">
        <f>MODULO!I53</f>
        <v>0</v>
      </c>
      <c r="AA82" s="196"/>
      <c r="AB82" s="196"/>
      <c r="AC82" s="196"/>
      <c r="AD82" s="196"/>
      <c r="AE82" s="196"/>
      <c r="AF82" s="196"/>
      <c r="AG82" s="196"/>
      <c r="AH82" s="196"/>
      <c r="AI82" s="19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</row>
    <row r="83" spans="1:62" ht="15" customHeight="1">
      <c r="A83" s="292">
        <v>300</v>
      </c>
      <c r="B83" s="293"/>
      <c r="C83" s="283">
        <v>1.5409999999999999</v>
      </c>
      <c r="D83" s="284"/>
      <c r="E83" s="283">
        <v>2.4954999999999998</v>
      </c>
      <c r="F83" s="284"/>
      <c r="G83" s="283">
        <v>3.1624999999999996</v>
      </c>
      <c r="H83" s="284"/>
      <c r="I83" s="283">
        <v>4.2089999999999996</v>
      </c>
      <c r="J83" s="284"/>
      <c r="K83" s="283">
        <v>6.3134999999999994</v>
      </c>
      <c r="L83" s="284"/>
      <c r="M83" s="283">
        <v>7.1069999999999993</v>
      </c>
      <c r="N83" s="284"/>
      <c r="O83" s="6"/>
      <c r="P83" s="6"/>
      <c r="Q83" s="6"/>
      <c r="S83" s="261" t="str">
        <f>MODULO!B20</f>
        <v/>
      </c>
      <c r="T83" s="261"/>
      <c r="U83" s="196" t="str">
        <f>MODULO!D20</f>
        <v/>
      </c>
      <c r="V83" s="196"/>
      <c r="W83" s="249" t="str">
        <f>MODULO!F20</f>
        <v/>
      </c>
      <c r="X83" s="249"/>
      <c r="Y83" s="249"/>
      <c r="Z83" s="249" t="str">
        <f>MODULO!I20</f>
        <v/>
      </c>
      <c r="AA83" s="249"/>
      <c r="AB83" s="249"/>
      <c r="AC83" s="196" t="str">
        <f>MODULO!L20</f>
        <v/>
      </c>
      <c r="AD83" s="196"/>
      <c r="AE83" s="196" t="str">
        <f>MODULO!N20</f>
        <v/>
      </c>
      <c r="AF83" s="196"/>
      <c r="AG83" s="196"/>
      <c r="AH83" s="196" t="str">
        <f>MODULO!Q20</f>
        <v/>
      </c>
      <c r="AI83" s="19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</row>
    <row r="84" spans="1:62" ht="15" customHeight="1">
      <c r="A84" s="292">
        <v>350</v>
      </c>
      <c r="B84" s="293"/>
      <c r="C84" s="283">
        <v>1.7709999999999999</v>
      </c>
      <c r="D84" s="284"/>
      <c r="E84" s="283">
        <v>2.8289999999999997</v>
      </c>
      <c r="F84" s="284"/>
      <c r="G84" s="283">
        <v>3.5304999999999995</v>
      </c>
      <c r="H84" s="284"/>
      <c r="I84" s="283">
        <v>4.7034999999999991</v>
      </c>
      <c r="J84" s="284"/>
      <c r="K84" s="283">
        <v>7.0724999999999998</v>
      </c>
      <c r="L84" s="284"/>
      <c r="M84" s="283">
        <v>7.9924999999999997</v>
      </c>
      <c r="N84" s="284"/>
      <c r="O84" s="6"/>
      <c r="P84" s="6"/>
      <c r="Q84" s="6"/>
      <c r="R84" s="148"/>
      <c r="S84" s="260" t="str">
        <f>MODULO!B21</f>
        <v/>
      </c>
      <c r="T84" s="260"/>
      <c r="U84" s="260"/>
      <c r="V84" s="260"/>
      <c r="W84" s="260"/>
      <c r="X84" s="260"/>
      <c r="Y84" s="149"/>
      <c r="Z84" s="150"/>
      <c r="AA84" s="150"/>
      <c r="AB84" s="150"/>
      <c r="AC84" s="150"/>
      <c r="AD84" s="150"/>
      <c r="AE84" s="150"/>
      <c r="AF84" s="150"/>
      <c r="AG84" s="150"/>
      <c r="AH84" s="150"/>
      <c r="AI84" s="151"/>
      <c r="AJ84" s="148"/>
      <c r="AK84" s="148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</row>
    <row r="85" spans="1:62" ht="15" customHeight="1">
      <c r="A85" s="292">
        <v>400</v>
      </c>
      <c r="B85" s="293"/>
      <c r="C85" s="283">
        <v>1.9204999999999999</v>
      </c>
      <c r="D85" s="284"/>
      <c r="E85" s="283">
        <v>3.0474999999999999</v>
      </c>
      <c r="F85" s="284"/>
      <c r="G85" s="283">
        <v>3.8179999999999996</v>
      </c>
      <c r="H85" s="284"/>
      <c r="I85" s="283">
        <v>5.0944999999999991</v>
      </c>
      <c r="J85" s="284"/>
      <c r="K85" s="283">
        <v>7.6244999999999994</v>
      </c>
      <c r="L85" s="284"/>
      <c r="M85" s="283">
        <v>8.625</v>
      </c>
      <c r="N85" s="284"/>
      <c r="O85" s="6"/>
      <c r="P85" s="6"/>
      <c r="Q85" s="6"/>
      <c r="S85" s="249" t="str">
        <f>MODULO!B22</f>
        <v/>
      </c>
      <c r="T85" s="249"/>
      <c r="U85" s="273" t="str">
        <f>MODULO!D22</f>
        <v/>
      </c>
      <c r="V85" s="273"/>
      <c r="W85" s="196" t="str">
        <f>MODULO!F22</f>
        <v/>
      </c>
      <c r="X85" s="196"/>
      <c r="Y85" s="146" t="str">
        <f>MODULO!H22</f>
        <v/>
      </c>
      <c r="Z85" s="147">
        <f>MODULO!I22</f>
        <v>0</v>
      </c>
      <c r="AA85" s="261" t="str">
        <f>MODULO!J22</f>
        <v/>
      </c>
      <c r="AB85" s="261"/>
      <c r="AC85" s="261"/>
      <c r="AD85" s="261"/>
      <c r="AE85" s="249"/>
      <c r="AF85" s="249"/>
      <c r="AG85" s="249"/>
      <c r="AH85" s="249"/>
      <c r="AI85" s="249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</row>
    <row r="86" spans="1:62" ht="12.9" customHeight="1">
      <c r="A86" s="292">
        <v>450</v>
      </c>
      <c r="B86" s="293"/>
      <c r="C86" s="283">
        <v>2.09415</v>
      </c>
      <c r="D86" s="284"/>
      <c r="E86" s="283">
        <v>3.3464999999999998</v>
      </c>
      <c r="F86" s="284"/>
      <c r="G86" s="283">
        <v>4.1859999999999999</v>
      </c>
      <c r="H86" s="284"/>
      <c r="I86" s="283">
        <v>5.5659999999999998</v>
      </c>
      <c r="J86" s="284"/>
      <c r="K86" s="283">
        <v>8.3145000000000007</v>
      </c>
      <c r="L86" s="284"/>
      <c r="M86" s="283">
        <v>9.4069999999999983</v>
      </c>
      <c r="N86" s="284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</row>
    <row r="87" spans="1:62" ht="12.9" customHeight="1">
      <c r="A87" s="292">
        <v>500</v>
      </c>
      <c r="B87" s="293"/>
      <c r="C87" s="283">
        <v>2.2654999999999998</v>
      </c>
      <c r="D87" s="284"/>
      <c r="E87" s="283">
        <v>3.6224999999999996</v>
      </c>
      <c r="F87" s="284"/>
      <c r="G87" s="283">
        <v>4.5194999999999999</v>
      </c>
      <c r="H87" s="284"/>
      <c r="I87" s="283">
        <v>6.0259999999999998</v>
      </c>
      <c r="J87" s="284"/>
      <c r="K87" s="283">
        <v>9.0274999999999981</v>
      </c>
      <c r="L87" s="284"/>
      <c r="M87" s="283">
        <v>10.2235</v>
      </c>
      <c r="N87" s="284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</row>
    <row r="88" spans="1:62" ht="12.9" customHeight="1">
      <c r="A88" s="292">
        <v>550</v>
      </c>
      <c r="B88" s="293"/>
      <c r="C88" s="283">
        <v>2.3919999999999999</v>
      </c>
      <c r="D88" s="284"/>
      <c r="E88" s="283">
        <v>3.8409999999999997</v>
      </c>
      <c r="F88" s="284"/>
      <c r="G88" s="283">
        <v>4.7725</v>
      </c>
      <c r="H88" s="284"/>
      <c r="I88" s="283">
        <v>6.4055</v>
      </c>
      <c r="J88" s="284"/>
      <c r="K88" s="283">
        <v>9.7749999999999986</v>
      </c>
      <c r="L88" s="284"/>
      <c r="M88" s="283">
        <v>10.844499999999998</v>
      </c>
      <c r="N88" s="284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</row>
    <row r="89" spans="1:62" ht="12.9" customHeight="1">
      <c r="A89" s="292">
        <v>650</v>
      </c>
      <c r="B89" s="293"/>
      <c r="C89" s="283">
        <v>2.8059999999999996</v>
      </c>
      <c r="D89" s="284"/>
      <c r="E89" s="283">
        <v>4.5194999999999999</v>
      </c>
      <c r="F89" s="284"/>
      <c r="G89" s="283">
        <v>5.6004999999999994</v>
      </c>
      <c r="H89" s="284"/>
      <c r="I89" s="283">
        <v>7.5439999999999987</v>
      </c>
      <c r="J89" s="284"/>
      <c r="K89" s="283">
        <v>11.189499999999999</v>
      </c>
      <c r="L89" s="284"/>
      <c r="M89" s="283">
        <v>12.834</v>
      </c>
      <c r="N89" s="284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</row>
    <row r="90" spans="1:62" ht="12.9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</row>
    <row r="91" spans="1:62" ht="12.9" customHeight="1">
      <c r="A91" s="263" t="s">
        <v>85</v>
      </c>
      <c r="B91" s="264"/>
      <c r="C91" s="264"/>
      <c r="D91" s="264"/>
      <c r="E91" s="264"/>
      <c r="F91" s="264"/>
      <c r="G91" s="264"/>
      <c r="H91" s="264"/>
      <c r="I91" s="264"/>
      <c r="J91" s="264"/>
      <c r="K91" s="264"/>
      <c r="L91" s="264"/>
      <c r="M91" s="264"/>
      <c r="N91" s="265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</row>
    <row r="92" spans="1:62" ht="12.9" customHeight="1">
      <c r="A92" s="311" t="s">
        <v>4</v>
      </c>
      <c r="B92" s="313"/>
      <c r="C92" s="292">
        <v>300</v>
      </c>
      <c r="D92" s="293"/>
      <c r="E92" s="292">
        <v>400</v>
      </c>
      <c r="F92" s="293"/>
      <c r="G92" s="292">
        <v>450</v>
      </c>
      <c r="H92" s="293"/>
      <c r="I92" s="292">
        <v>600</v>
      </c>
      <c r="J92" s="293"/>
      <c r="K92" s="292">
        <v>900</v>
      </c>
      <c r="L92" s="293"/>
      <c r="M92" s="292">
        <v>1200</v>
      </c>
      <c r="N92" s="293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</row>
    <row r="93" spans="1:62" ht="12.9" customHeight="1">
      <c r="A93" s="292">
        <v>78</v>
      </c>
      <c r="B93" s="293"/>
      <c r="C93" s="283">
        <v>0.73599999999999999</v>
      </c>
      <c r="D93" s="284"/>
      <c r="E93" s="283">
        <v>1.2189999999999999</v>
      </c>
      <c r="F93" s="284"/>
      <c r="G93" s="283">
        <v>1.5065</v>
      </c>
      <c r="H93" s="284"/>
      <c r="I93" s="283">
        <v>2.0124999999999997</v>
      </c>
      <c r="J93" s="284"/>
      <c r="K93" s="283">
        <v>3.0474999999999999</v>
      </c>
      <c r="L93" s="284"/>
      <c r="M93" s="283">
        <v>3.4384999999999999</v>
      </c>
      <c r="N93" s="284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</row>
    <row r="94" spans="1:62" ht="12.9" customHeight="1">
      <c r="A94" s="292">
        <v>94</v>
      </c>
      <c r="B94" s="293"/>
      <c r="C94" s="283">
        <v>0.73599999999999999</v>
      </c>
      <c r="D94" s="284"/>
      <c r="E94" s="283">
        <v>1.2189999999999999</v>
      </c>
      <c r="F94" s="284"/>
      <c r="G94" s="283">
        <v>1.5065</v>
      </c>
      <c r="H94" s="284"/>
      <c r="I94" s="283">
        <v>2.0124999999999997</v>
      </c>
      <c r="J94" s="284"/>
      <c r="K94" s="283">
        <v>3.0474999999999999</v>
      </c>
      <c r="L94" s="284"/>
      <c r="M94" s="283">
        <v>3.4384999999999999</v>
      </c>
      <c r="N94" s="284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</row>
    <row r="95" spans="1:62" ht="12.9" customHeight="1">
      <c r="A95" s="292">
        <v>126</v>
      </c>
      <c r="B95" s="293"/>
      <c r="C95" s="283">
        <v>0.97749999999999992</v>
      </c>
      <c r="D95" s="284"/>
      <c r="E95" s="283">
        <v>1.5065</v>
      </c>
      <c r="F95" s="284"/>
      <c r="G95" s="283">
        <v>1.8399999999999999</v>
      </c>
      <c r="H95" s="284"/>
      <c r="I95" s="283">
        <v>2.484</v>
      </c>
      <c r="J95" s="284"/>
      <c r="K95" s="283">
        <v>3.6684999999999999</v>
      </c>
      <c r="L95" s="284"/>
      <c r="M95" s="283">
        <v>4.2089999999999996</v>
      </c>
      <c r="N95" s="284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</row>
    <row r="96" spans="1:62" ht="12.9" customHeight="1">
      <c r="A96" s="292">
        <v>186</v>
      </c>
      <c r="B96" s="293"/>
      <c r="C96" s="283">
        <v>1.196</v>
      </c>
      <c r="D96" s="284"/>
      <c r="E96" s="283">
        <v>1.8859999999999997</v>
      </c>
      <c r="F96" s="284"/>
      <c r="G96" s="283">
        <v>2.3344999999999998</v>
      </c>
      <c r="H96" s="284"/>
      <c r="I96" s="283">
        <v>3.1509999999999998</v>
      </c>
      <c r="J96" s="284"/>
      <c r="K96" s="283">
        <v>4.6574999999999998</v>
      </c>
      <c r="L96" s="284"/>
      <c r="M96" s="283">
        <v>5.2784999999999993</v>
      </c>
      <c r="N96" s="284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</row>
    <row r="97" spans="1:62" ht="12.9" customHeight="1">
      <c r="A97" s="292">
        <v>218</v>
      </c>
      <c r="B97" s="293"/>
      <c r="C97" s="283">
        <v>1.4029999999999998</v>
      </c>
      <c r="D97" s="284"/>
      <c r="E97" s="283">
        <v>2.2091499999999997</v>
      </c>
      <c r="F97" s="284"/>
      <c r="G97" s="283">
        <v>2.7484999999999999</v>
      </c>
      <c r="H97" s="284"/>
      <c r="I97" s="283">
        <v>3.6684999999999999</v>
      </c>
      <c r="J97" s="284"/>
      <c r="K97" s="283">
        <v>5.4509999999999996</v>
      </c>
      <c r="L97" s="284"/>
      <c r="M97" s="283">
        <v>6.1869999999999994</v>
      </c>
      <c r="N97" s="284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</row>
    <row r="98" spans="1:62" ht="12.9" customHeight="1">
      <c r="A98" s="292">
        <v>250</v>
      </c>
      <c r="B98" s="293"/>
      <c r="C98" s="283">
        <v>1.6214999999999997</v>
      </c>
      <c r="D98" s="284"/>
      <c r="E98" s="283">
        <v>2.5185</v>
      </c>
      <c r="F98" s="284"/>
      <c r="G98" s="283">
        <v>3.1624999999999996</v>
      </c>
      <c r="H98" s="284"/>
      <c r="I98" s="283">
        <v>4.2089999999999996</v>
      </c>
      <c r="J98" s="284"/>
      <c r="K98" s="283">
        <v>6.2444999999999995</v>
      </c>
      <c r="L98" s="284"/>
      <c r="M98" s="283">
        <v>7.1069999999999993</v>
      </c>
      <c r="N98" s="284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</row>
    <row r="99" spans="1:62" ht="12.9" customHeight="1">
      <c r="A99" s="292">
        <v>282</v>
      </c>
      <c r="B99" s="293"/>
      <c r="C99" s="283">
        <v>1.8285</v>
      </c>
      <c r="D99" s="284"/>
      <c r="E99" s="283">
        <v>2.8405</v>
      </c>
      <c r="F99" s="284"/>
      <c r="G99" s="283">
        <v>3.5649999999999999</v>
      </c>
      <c r="H99" s="284"/>
      <c r="I99" s="283">
        <v>4.7379999999999995</v>
      </c>
      <c r="J99" s="284"/>
      <c r="K99" s="283">
        <v>7.0609999999999991</v>
      </c>
      <c r="L99" s="284"/>
      <c r="M99" s="283">
        <v>8.0499999999999989</v>
      </c>
      <c r="N99" s="284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</row>
    <row r="100" spans="1:62" ht="12.9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</row>
    <row r="101" spans="1:62" ht="12.9" customHeight="1">
      <c r="A101" s="126" t="s">
        <v>55</v>
      </c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7"/>
      <c r="V101" s="6"/>
      <c r="W101" s="6"/>
      <c r="X101" s="6"/>
      <c r="Y101" s="6"/>
      <c r="Z101" s="6" t="s">
        <v>160</v>
      </c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</row>
    <row r="102" spans="1:62" ht="16.8">
      <c r="A102" s="172" t="s">
        <v>56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5"/>
      <c r="V102" s="6"/>
      <c r="W102" s="6"/>
      <c r="X102" s="6"/>
      <c r="Y102" s="6"/>
      <c r="Z102" s="6" t="s">
        <v>155</v>
      </c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</row>
    <row r="103" spans="1:62" ht="15">
      <c r="A103" s="173" t="s">
        <v>81</v>
      </c>
      <c r="B103" s="174"/>
      <c r="C103" s="175"/>
      <c r="D103" s="175"/>
      <c r="E103" s="14"/>
      <c r="F103" s="14"/>
      <c r="G103" s="14"/>
      <c r="H103" s="10"/>
      <c r="I103" s="14"/>
      <c r="J103" s="14"/>
      <c r="K103" s="176" t="s">
        <v>82</v>
      </c>
      <c r="L103" s="10"/>
      <c r="M103" s="10"/>
      <c r="N103" s="14"/>
      <c r="O103" s="14"/>
      <c r="P103" s="14"/>
      <c r="Q103" s="14"/>
      <c r="R103" s="14"/>
      <c r="S103" s="14"/>
      <c r="T103" s="14"/>
      <c r="U103" s="15"/>
      <c r="V103" s="6"/>
      <c r="W103" s="6"/>
      <c r="X103" s="6"/>
      <c r="Y103" s="6"/>
      <c r="Z103" s="6" t="s">
        <v>156</v>
      </c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</row>
    <row r="104" spans="1:62" ht="15">
      <c r="A104" s="173" t="s">
        <v>83</v>
      </c>
      <c r="B104" s="175"/>
      <c r="C104" s="175"/>
      <c r="D104" s="175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5"/>
      <c r="T104" s="8"/>
      <c r="U104" s="12" t="s">
        <v>57</v>
      </c>
      <c r="V104" s="6"/>
      <c r="W104" s="6"/>
      <c r="X104" s="6"/>
      <c r="Y104" s="6"/>
      <c r="Z104" s="6" t="s">
        <v>157</v>
      </c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</row>
    <row r="105" spans="1:62" ht="16.8">
      <c r="A105" s="3" t="s">
        <v>58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5"/>
      <c r="V105" s="6"/>
      <c r="W105" s="6"/>
      <c r="X105" s="6"/>
      <c r="Y105" s="6"/>
      <c r="Z105" s="6" t="s">
        <v>158</v>
      </c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</row>
    <row r="106" spans="1:62" ht="15">
      <c r="A106" s="173" t="s">
        <v>154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1"/>
      <c r="T106" s="9"/>
      <c r="U106" s="12" t="s">
        <v>57</v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</row>
    <row r="107" spans="1:62" ht="15">
      <c r="A107" s="13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</row>
    <row r="108" spans="1:62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</row>
    <row r="109" spans="1:62" ht="12.9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</row>
    <row r="110" spans="1:62" ht="17.100000000000001" customHeight="1">
      <c r="A110" s="263" t="s">
        <v>86</v>
      </c>
      <c r="B110" s="264"/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6"/>
      <c r="P110" s="6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7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</row>
    <row r="111" spans="1:62" ht="17.100000000000001" customHeight="1">
      <c r="A111" s="266" t="s">
        <v>4</v>
      </c>
      <c r="B111" s="266"/>
      <c r="C111" s="256">
        <v>300</v>
      </c>
      <c r="D111" s="256"/>
      <c r="E111" s="256">
        <v>400</v>
      </c>
      <c r="F111" s="256"/>
      <c r="G111" s="256">
        <v>450</v>
      </c>
      <c r="H111" s="256"/>
      <c r="I111" s="256">
        <v>600</v>
      </c>
      <c r="J111" s="256"/>
      <c r="K111" s="256">
        <v>900</v>
      </c>
      <c r="L111" s="256"/>
      <c r="M111" s="256">
        <v>1200</v>
      </c>
      <c r="N111" s="256"/>
      <c r="O111" s="6"/>
      <c r="P111" s="6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7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</row>
    <row r="112" spans="1:62" ht="12.9" customHeight="1">
      <c r="A112" s="256">
        <v>270</v>
      </c>
      <c r="B112" s="256"/>
      <c r="C112" s="304">
        <v>0.93</v>
      </c>
      <c r="D112" s="305"/>
      <c r="E112" s="304">
        <v>2.44</v>
      </c>
      <c r="F112" s="305"/>
      <c r="G112" s="304">
        <v>2.86</v>
      </c>
      <c r="H112" s="305"/>
      <c r="I112" s="304">
        <v>4.1500000000000004</v>
      </c>
      <c r="J112" s="305"/>
      <c r="K112" s="304">
        <v>6.73</v>
      </c>
      <c r="L112" s="305"/>
      <c r="M112" s="304">
        <v>9.3000000000000007</v>
      </c>
      <c r="N112" s="305"/>
      <c r="O112" s="6"/>
      <c r="P112" s="6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</row>
    <row r="113" spans="1:62" ht="12.9" customHeight="1">
      <c r="A113" s="256">
        <v>300</v>
      </c>
      <c r="B113" s="256"/>
      <c r="C113" s="304">
        <v>1.04</v>
      </c>
      <c r="D113" s="305"/>
      <c r="E113" s="304">
        <v>2.74</v>
      </c>
      <c r="F113" s="305"/>
      <c r="G113" s="304">
        <v>3.21</v>
      </c>
      <c r="H113" s="305"/>
      <c r="I113" s="304">
        <v>4.66</v>
      </c>
      <c r="J113" s="305"/>
      <c r="K113" s="304">
        <v>7.55</v>
      </c>
      <c r="L113" s="305"/>
      <c r="M113" s="304">
        <v>10.44</v>
      </c>
      <c r="N113" s="305"/>
      <c r="O113" s="6"/>
      <c r="P113" s="6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</row>
    <row r="114" spans="1:62" ht="12.9" customHeight="1">
      <c r="A114" s="256">
        <v>350</v>
      </c>
      <c r="B114" s="256"/>
      <c r="C114" s="304">
        <v>1.23</v>
      </c>
      <c r="D114" s="305"/>
      <c r="E114" s="304">
        <v>3.23</v>
      </c>
      <c r="F114" s="305"/>
      <c r="G114" s="304">
        <v>3.8</v>
      </c>
      <c r="H114" s="305"/>
      <c r="I114" s="304">
        <v>5.5</v>
      </c>
      <c r="J114" s="305"/>
      <c r="K114" s="304">
        <v>8.91</v>
      </c>
      <c r="L114" s="305"/>
      <c r="M114" s="304">
        <v>12.33</v>
      </c>
      <c r="N114" s="305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</row>
    <row r="115" spans="1:62" ht="12.9" customHeight="1">
      <c r="A115" s="256">
        <v>400</v>
      </c>
      <c r="B115" s="256"/>
      <c r="C115" s="304">
        <v>1.41</v>
      </c>
      <c r="D115" s="305"/>
      <c r="E115" s="304">
        <v>3.73</v>
      </c>
      <c r="F115" s="305"/>
      <c r="G115" s="304">
        <v>4.3899999999999997</v>
      </c>
      <c r="H115" s="305"/>
      <c r="I115" s="304">
        <v>6.35</v>
      </c>
      <c r="J115" s="305"/>
      <c r="K115" s="304">
        <v>10.29</v>
      </c>
      <c r="L115" s="305"/>
      <c r="M115" s="304">
        <v>14.23</v>
      </c>
      <c r="N115" s="305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</row>
    <row r="116" spans="1:62" ht="12.9" customHeight="1">
      <c r="A116" s="256">
        <v>450</v>
      </c>
      <c r="B116" s="256"/>
      <c r="C116" s="304">
        <v>1.61</v>
      </c>
      <c r="D116" s="305"/>
      <c r="E116" s="304">
        <v>4.2300000000000004</v>
      </c>
      <c r="F116" s="305"/>
      <c r="G116" s="304">
        <v>4.96</v>
      </c>
      <c r="H116" s="305"/>
      <c r="I116" s="304">
        <v>7.2</v>
      </c>
      <c r="J116" s="305"/>
      <c r="K116" s="304">
        <v>11.66</v>
      </c>
      <c r="L116" s="305"/>
      <c r="M116" s="304">
        <v>16.13</v>
      </c>
      <c r="N116" s="305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</row>
    <row r="117" spans="1:62" ht="12.9" customHeight="1">
      <c r="A117" s="256">
        <v>500</v>
      </c>
      <c r="B117" s="256"/>
      <c r="C117" s="304">
        <v>1.8</v>
      </c>
      <c r="D117" s="305"/>
      <c r="E117" s="304">
        <v>4.7300000000000004</v>
      </c>
      <c r="F117" s="305"/>
      <c r="G117" s="304">
        <v>5.55</v>
      </c>
      <c r="H117" s="305"/>
      <c r="I117" s="304">
        <v>8.0500000000000007</v>
      </c>
      <c r="J117" s="305"/>
      <c r="K117" s="304">
        <v>13.04</v>
      </c>
      <c r="L117" s="305"/>
      <c r="M117" s="304">
        <v>18.03</v>
      </c>
      <c r="N117" s="305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</row>
    <row r="118" spans="1:62" ht="12.9" customHeight="1">
      <c r="A118" s="256">
        <v>550</v>
      </c>
      <c r="B118" s="256"/>
      <c r="C118" s="304">
        <v>1.99</v>
      </c>
      <c r="D118" s="305"/>
      <c r="E118" s="304">
        <v>5.21</v>
      </c>
      <c r="F118" s="305"/>
      <c r="G118" s="304">
        <v>6.14</v>
      </c>
      <c r="H118" s="305"/>
      <c r="I118" s="304">
        <v>8.89</v>
      </c>
      <c r="J118" s="305"/>
      <c r="K118" s="304">
        <v>14.4</v>
      </c>
      <c r="L118" s="305"/>
      <c r="M118" s="304">
        <v>19.91</v>
      </c>
      <c r="N118" s="305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</row>
    <row r="119" spans="1:62" ht="12.9" customHeight="1">
      <c r="A119" s="256">
        <v>650</v>
      </c>
      <c r="B119" s="256"/>
      <c r="C119" s="304">
        <v>2.36</v>
      </c>
      <c r="D119" s="305"/>
      <c r="E119" s="304">
        <v>6.21</v>
      </c>
      <c r="F119" s="305"/>
      <c r="G119" s="304">
        <v>7.31</v>
      </c>
      <c r="H119" s="305"/>
      <c r="I119" s="304">
        <v>10.59</v>
      </c>
      <c r="J119" s="305"/>
      <c r="K119" s="304">
        <v>17.149999999999999</v>
      </c>
      <c r="L119" s="305"/>
      <c r="M119" s="304">
        <v>23.71</v>
      </c>
      <c r="N119" s="305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</row>
    <row r="120" spans="1:62" ht="12.9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</row>
    <row r="121" spans="1:62" ht="12.9" customHeight="1">
      <c r="A121" s="263" t="s">
        <v>89</v>
      </c>
      <c r="B121" s="264"/>
      <c r="C121" s="264"/>
      <c r="D121" s="264"/>
      <c r="E121" s="264"/>
      <c r="F121" s="264"/>
      <c r="G121" s="264"/>
      <c r="H121" s="264"/>
      <c r="I121" s="264"/>
      <c r="J121" s="264"/>
      <c r="K121" s="264"/>
      <c r="L121" s="264"/>
      <c r="M121" s="264"/>
      <c r="N121" s="265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</row>
    <row r="122" spans="1:62" ht="12.9" customHeight="1">
      <c r="A122" s="266" t="s">
        <v>4</v>
      </c>
      <c r="B122" s="266"/>
      <c r="C122" s="256">
        <v>300</v>
      </c>
      <c r="D122" s="256"/>
      <c r="E122" s="256">
        <v>400</v>
      </c>
      <c r="F122" s="256"/>
      <c r="G122" s="256">
        <v>450</v>
      </c>
      <c r="H122" s="256"/>
      <c r="I122" s="256">
        <v>600</v>
      </c>
      <c r="J122" s="256"/>
      <c r="K122" s="256">
        <v>900</v>
      </c>
      <c r="L122" s="256"/>
      <c r="M122" s="256">
        <v>1200</v>
      </c>
      <c r="N122" s="25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</row>
    <row r="123" spans="1:62" ht="12.9" customHeight="1">
      <c r="A123" s="256">
        <v>78</v>
      </c>
      <c r="B123" s="256"/>
      <c r="C123" s="387">
        <v>0.31</v>
      </c>
      <c r="D123" s="387"/>
      <c r="E123" s="387">
        <v>0.84</v>
      </c>
      <c r="F123" s="387"/>
      <c r="G123" s="387">
        <v>0.99</v>
      </c>
      <c r="H123" s="387"/>
      <c r="I123" s="387">
        <v>1.43</v>
      </c>
      <c r="J123" s="387"/>
      <c r="K123" s="387">
        <v>2.2999999999999998</v>
      </c>
      <c r="L123" s="387"/>
      <c r="M123" s="387">
        <v>3.19</v>
      </c>
      <c r="N123" s="387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</row>
    <row r="124" spans="1:62" ht="12.9" customHeight="1">
      <c r="A124" s="256">
        <v>94</v>
      </c>
      <c r="B124" s="256"/>
      <c r="C124" s="387">
        <v>0.31</v>
      </c>
      <c r="D124" s="387"/>
      <c r="E124" s="387">
        <v>0.84</v>
      </c>
      <c r="F124" s="387"/>
      <c r="G124" s="387">
        <v>0.99</v>
      </c>
      <c r="H124" s="387"/>
      <c r="I124" s="387">
        <v>1.43</v>
      </c>
      <c r="J124" s="387"/>
      <c r="K124" s="387">
        <v>2.2999999999999998</v>
      </c>
      <c r="L124" s="387"/>
      <c r="M124" s="387">
        <v>3.19</v>
      </c>
      <c r="N124" s="387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</row>
    <row r="125" spans="1:62" ht="12.9" customHeight="1">
      <c r="A125" s="256">
        <v>126</v>
      </c>
      <c r="B125" s="256"/>
      <c r="C125" s="387">
        <v>0.44</v>
      </c>
      <c r="D125" s="387"/>
      <c r="E125" s="387">
        <v>1.1499999999999999</v>
      </c>
      <c r="F125" s="387"/>
      <c r="G125" s="387">
        <v>1.35</v>
      </c>
      <c r="H125" s="387"/>
      <c r="I125" s="387">
        <v>1.96</v>
      </c>
      <c r="J125" s="387"/>
      <c r="K125" s="387">
        <v>3.19</v>
      </c>
      <c r="L125" s="387"/>
      <c r="M125" s="387">
        <v>4.4000000000000004</v>
      </c>
      <c r="N125" s="387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</row>
    <row r="126" spans="1:62" ht="12.9" customHeight="1">
      <c r="A126" s="256">
        <v>186</v>
      </c>
      <c r="B126" s="256"/>
      <c r="C126" s="387">
        <v>0.66</v>
      </c>
      <c r="D126" s="387"/>
      <c r="E126" s="387">
        <v>1.75</v>
      </c>
      <c r="F126" s="387"/>
      <c r="G126" s="387">
        <v>2.06</v>
      </c>
      <c r="H126" s="387"/>
      <c r="I126" s="387">
        <v>2.99</v>
      </c>
      <c r="J126" s="387"/>
      <c r="K126" s="387">
        <v>4.83</v>
      </c>
      <c r="L126" s="387"/>
      <c r="M126" s="387">
        <v>6.68</v>
      </c>
      <c r="N126" s="387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</row>
    <row r="127" spans="1:62" ht="12.9" customHeight="1">
      <c r="A127" s="256">
        <v>218</v>
      </c>
      <c r="B127" s="256"/>
      <c r="C127" s="387">
        <v>0.79</v>
      </c>
      <c r="D127" s="387"/>
      <c r="E127" s="387">
        <v>2.06</v>
      </c>
      <c r="F127" s="387"/>
      <c r="G127" s="387">
        <v>2.44</v>
      </c>
      <c r="H127" s="387"/>
      <c r="I127" s="387">
        <v>3.53</v>
      </c>
      <c r="J127" s="387"/>
      <c r="K127" s="387">
        <v>5.71</v>
      </c>
      <c r="L127" s="387"/>
      <c r="M127" s="387">
        <v>7.89</v>
      </c>
      <c r="N127" s="387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</row>
    <row r="128" spans="1:62" ht="12.9" customHeight="1">
      <c r="A128" s="256">
        <v>250</v>
      </c>
      <c r="B128" s="256"/>
      <c r="C128" s="387">
        <v>0.91</v>
      </c>
      <c r="D128" s="387"/>
      <c r="E128" s="387">
        <v>2.39</v>
      </c>
      <c r="F128" s="387"/>
      <c r="G128" s="387">
        <v>2.8</v>
      </c>
      <c r="H128" s="387"/>
      <c r="I128" s="387">
        <v>4.0599999999999996</v>
      </c>
      <c r="J128" s="387"/>
      <c r="K128" s="387">
        <v>6.59</v>
      </c>
      <c r="L128" s="387"/>
      <c r="M128" s="387">
        <v>9.1</v>
      </c>
      <c r="N128" s="387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</row>
    <row r="129" spans="1:62" ht="12.9" customHeight="1">
      <c r="A129" s="256">
        <v>282</v>
      </c>
      <c r="B129" s="256"/>
      <c r="C129" s="387">
        <v>1.03</v>
      </c>
      <c r="D129" s="387"/>
      <c r="E129" s="387">
        <v>2.7</v>
      </c>
      <c r="F129" s="387"/>
      <c r="G129" s="387">
        <v>3.18</v>
      </c>
      <c r="H129" s="387"/>
      <c r="I129" s="387">
        <v>4.6100000000000003</v>
      </c>
      <c r="J129" s="387"/>
      <c r="K129" s="387">
        <v>7.46</v>
      </c>
      <c r="L129" s="387"/>
      <c r="M129" s="387">
        <v>10.33</v>
      </c>
      <c r="N129" s="387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</row>
    <row r="130" spans="1:62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</row>
    <row r="131" spans="1:62" ht="12.9" customHeight="1">
      <c r="A131" s="263"/>
      <c r="B131" s="264"/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48"/>
      <c r="P131" s="48"/>
      <c r="Q131" s="48"/>
      <c r="R131" s="48"/>
      <c r="S131" s="48"/>
      <c r="T131" s="48"/>
      <c r="U131" s="48"/>
      <c r="V131" s="48"/>
    </row>
    <row r="132" spans="1:62" ht="12.9" customHeight="1">
      <c r="A132" s="311"/>
      <c r="B132" s="313"/>
      <c r="C132" s="292"/>
      <c r="D132" s="293"/>
      <c r="E132" s="292"/>
      <c r="F132" s="293"/>
      <c r="G132" s="292"/>
      <c r="H132" s="293"/>
      <c r="I132" s="292"/>
      <c r="J132" s="293"/>
      <c r="K132" s="292"/>
      <c r="L132" s="293"/>
      <c r="M132" s="292"/>
      <c r="N132" s="293"/>
    </row>
    <row r="133" spans="1:62" ht="15" customHeight="1">
      <c r="A133" s="390"/>
      <c r="B133" s="390"/>
      <c r="C133" s="388"/>
      <c r="D133" s="388"/>
      <c r="E133" s="388"/>
      <c r="F133" s="388"/>
      <c r="G133" s="388"/>
      <c r="H133" s="388"/>
      <c r="I133" s="388"/>
      <c r="J133" s="388"/>
      <c r="K133" s="388"/>
      <c r="L133" s="388"/>
      <c r="M133" s="388"/>
      <c r="N133" s="388"/>
    </row>
    <row r="134" spans="1:62" ht="15" customHeight="1">
      <c r="A134" s="388"/>
      <c r="B134" s="388"/>
      <c r="C134" s="283"/>
      <c r="D134" s="284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</row>
    <row r="135" spans="1:62" ht="15" customHeight="1">
      <c r="A135" s="388"/>
      <c r="B135" s="388"/>
      <c r="C135" s="283"/>
      <c r="D135" s="284"/>
      <c r="E135" s="389"/>
      <c r="F135" s="389"/>
      <c r="G135" s="389"/>
      <c r="H135" s="389"/>
      <c r="I135" s="389"/>
      <c r="J135" s="389"/>
      <c r="K135" s="389"/>
      <c r="L135" s="389"/>
      <c r="M135" s="389"/>
      <c r="N135" s="389"/>
    </row>
    <row r="136" spans="1:62" ht="15" customHeight="1">
      <c r="A136" s="388"/>
      <c r="B136" s="388"/>
      <c r="C136" s="283"/>
      <c r="D136" s="284"/>
      <c r="E136" s="389"/>
      <c r="F136" s="389"/>
      <c r="G136" s="389"/>
      <c r="H136" s="389"/>
      <c r="I136" s="389"/>
      <c r="J136" s="389"/>
      <c r="K136" s="389"/>
      <c r="L136" s="389"/>
      <c r="M136" s="389"/>
      <c r="N136" s="389"/>
    </row>
    <row r="137" spans="1:62" ht="12.9" customHeight="1">
      <c r="A137" s="388"/>
      <c r="B137" s="388"/>
      <c r="C137" s="283"/>
      <c r="D137" s="284"/>
      <c r="E137" s="389"/>
      <c r="F137" s="389"/>
      <c r="G137" s="389"/>
      <c r="H137" s="389"/>
      <c r="I137" s="389"/>
      <c r="J137" s="389"/>
      <c r="K137" s="389"/>
      <c r="L137" s="389"/>
      <c r="M137" s="389"/>
      <c r="N137" s="389"/>
    </row>
    <row r="138" spans="1:62" ht="12.9" customHeight="1">
      <c r="A138" s="388"/>
      <c r="B138" s="388"/>
      <c r="C138" s="283"/>
      <c r="D138" s="284"/>
      <c r="E138" s="389"/>
      <c r="F138" s="389"/>
      <c r="G138" s="389"/>
      <c r="H138" s="389"/>
      <c r="I138" s="389"/>
      <c r="J138" s="389"/>
      <c r="K138" s="389"/>
      <c r="L138" s="389"/>
      <c r="M138" s="389"/>
      <c r="N138" s="389"/>
    </row>
    <row r="139" spans="1:62" ht="12.9" customHeight="1">
      <c r="A139" s="388"/>
      <c r="B139" s="388"/>
      <c r="C139" s="283"/>
      <c r="D139" s="284"/>
      <c r="E139" s="389"/>
      <c r="F139" s="389"/>
      <c r="G139" s="389"/>
      <c r="H139" s="389"/>
      <c r="I139" s="389"/>
      <c r="J139" s="389"/>
      <c r="K139" s="389"/>
      <c r="L139" s="389"/>
      <c r="M139" s="389"/>
      <c r="N139" s="389"/>
    </row>
    <row r="140" spans="1:62" ht="12.9" customHeight="1">
      <c r="A140" s="388"/>
      <c r="B140" s="388"/>
      <c r="C140" s="283"/>
      <c r="D140" s="284"/>
      <c r="E140" s="389"/>
      <c r="F140" s="389"/>
      <c r="G140" s="389"/>
      <c r="H140" s="389"/>
      <c r="I140" s="389"/>
      <c r="J140" s="389"/>
      <c r="K140" s="389"/>
      <c r="L140" s="389"/>
      <c r="M140" s="389"/>
      <c r="N140" s="389"/>
    </row>
    <row r="141" spans="1:62" ht="12.9" customHeight="1">
      <c r="A141" s="388"/>
      <c r="B141" s="388"/>
      <c r="C141" s="283"/>
      <c r="D141" s="284"/>
      <c r="E141" s="389"/>
      <c r="F141" s="389"/>
      <c r="G141" s="389"/>
      <c r="H141" s="389"/>
      <c r="I141" s="389"/>
      <c r="J141" s="389"/>
      <c r="K141" s="389"/>
      <c r="L141" s="389"/>
      <c r="M141" s="389"/>
      <c r="N141" s="389"/>
    </row>
    <row r="142" spans="1:62" ht="12.9" customHeight="1">
      <c r="A142" s="263"/>
      <c r="B142" s="264"/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5"/>
    </row>
    <row r="143" spans="1:62" ht="12.9" customHeight="1">
      <c r="A143" s="311"/>
      <c r="B143" s="313"/>
      <c r="C143" s="292"/>
      <c r="D143" s="293"/>
      <c r="E143" s="292"/>
      <c r="F143" s="293"/>
      <c r="G143" s="292"/>
      <c r="H143" s="293"/>
      <c r="I143" s="292"/>
      <c r="J143" s="293"/>
      <c r="K143" s="292"/>
      <c r="L143" s="293"/>
      <c r="M143" s="292"/>
      <c r="N143" s="293"/>
    </row>
    <row r="144" spans="1:62" ht="12.9" customHeight="1">
      <c r="A144" s="292"/>
      <c r="B144" s="293"/>
      <c r="C144" s="283"/>
      <c r="D144" s="284"/>
      <c r="E144" s="283"/>
      <c r="F144" s="284"/>
      <c r="G144" s="283"/>
      <c r="H144" s="284"/>
      <c r="I144" s="283"/>
      <c r="J144" s="284"/>
      <c r="K144" s="283"/>
      <c r="L144" s="284"/>
      <c r="M144" s="283"/>
      <c r="N144" s="284"/>
    </row>
    <row r="145" spans="1:14" ht="12.9" customHeight="1">
      <c r="A145" s="292"/>
      <c r="B145" s="293"/>
      <c r="C145" s="283"/>
      <c r="D145" s="284"/>
      <c r="E145" s="283"/>
      <c r="F145" s="284"/>
      <c r="G145" s="283"/>
      <c r="H145" s="284"/>
      <c r="I145" s="283"/>
      <c r="J145" s="284"/>
      <c r="K145" s="283"/>
      <c r="L145" s="284"/>
      <c r="M145" s="283"/>
      <c r="N145" s="284"/>
    </row>
    <row r="146" spans="1:14" ht="12.9" customHeight="1">
      <c r="A146" s="292"/>
      <c r="B146" s="293"/>
      <c r="C146" s="283"/>
      <c r="D146" s="284"/>
      <c r="E146" s="283"/>
      <c r="F146" s="284"/>
      <c r="G146" s="283"/>
      <c r="H146" s="284"/>
      <c r="I146" s="283"/>
      <c r="J146" s="284"/>
      <c r="K146" s="283"/>
      <c r="L146" s="284"/>
      <c r="M146" s="283"/>
      <c r="N146" s="284"/>
    </row>
    <row r="147" spans="1:14" ht="12.9" customHeight="1">
      <c r="A147" s="292"/>
      <c r="B147" s="293"/>
      <c r="C147" s="283"/>
      <c r="D147" s="284"/>
      <c r="E147" s="283"/>
      <c r="F147" s="284"/>
      <c r="G147" s="283"/>
      <c r="H147" s="284"/>
      <c r="I147" s="283"/>
      <c r="J147" s="284"/>
      <c r="K147" s="283"/>
      <c r="L147" s="284"/>
      <c r="M147" s="283"/>
      <c r="N147" s="284"/>
    </row>
    <row r="148" spans="1:14" ht="12.9" customHeight="1">
      <c r="A148" s="292"/>
      <c r="B148" s="293"/>
      <c r="C148" s="283"/>
      <c r="D148" s="284"/>
      <c r="E148" s="283"/>
      <c r="F148" s="284"/>
      <c r="G148" s="283"/>
      <c r="H148" s="284"/>
      <c r="I148" s="283"/>
      <c r="J148" s="284"/>
      <c r="K148" s="283"/>
      <c r="L148" s="284"/>
      <c r="M148" s="283"/>
      <c r="N148" s="284"/>
    </row>
    <row r="149" spans="1:14" ht="12.9" customHeight="1">
      <c r="A149" s="292"/>
      <c r="B149" s="293"/>
      <c r="C149" s="283"/>
      <c r="D149" s="284"/>
      <c r="E149" s="283"/>
      <c r="F149" s="284"/>
      <c r="G149" s="283"/>
      <c r="H149" s="284"/>
      <c r="I149" s="283"/>
      <c r="J149" s="284"/>
      <c r="K149" s="283"/>
      <c r="L149" s="284"/>
      <c r="M149" s="283"/>
      <c r="N149" s="284"/>
    </row>
    <row r="150" spans="1:14" ht="12.9" customHeight="1">
      <c r="A150" s="292"/>
      <c r="B150" s="293"/>
      <c r="C150" s="283"/>
      <c r="D150" s="284"/>
      <c r="E150" s="283"/>
      <c r="F150" s="284"/>
      <c r="G150" s="283"/>
      <c r="H150" s="284"/>
      <c r="I150" s="283"/>
      <c r="J150" s="284"/>
      <c r="K150" s="283"/>
      <c r="L150" s="284"/>
      <c r="M150" s="283"/>
      <c r="N150" s="284"/>
    </row>
  </sheetData>
  <sheetProtection algorithmName="SHA-512" hashValue="hV5AZ0zg7MWD/Xg/NF0ywhLagHtP44+EDSUVhXzHjdo4/7ro4COGpQIkpW6XbNB4pYFVaqiSdb0l+5KjGMp1JQ==" saltValue="N4PkYo3yoTEcfwdXZHRWVg==" spinCount="100000" sheet="1" objects="1" scenarios="1" selectLockedCells="1"/>
  <mergeCells count="1442">
    <mergeCell ref="M150:N150"/>
    <mergeCell ref="A150:B150"/>
    <mergeCell ref="C150:D150"/>
    <mergeCell ref="E150:F150"/>
    <mergeCell ref="G150:H150"/>
    <mergeCell ref="I150:J150"/>
    <mergeCell ref="K150:L150"/>
    <mergeCell ref="M148:N148"/>
    <mergeCell ref="A149:B149"/>
    <mergeCell ref="C149:D149"/>
    <mergeCell ref="E149:F149"/>
    <mergeCell ref="G149:H149"/>
    <mergeCell ref="I149:J149"/>
    <mergeCell ref="K149:L149"/>
    <mergeCell ref="M149:N149"/>
    <mergeCell ref="A148:B148"/>
    <mergeCell ref="C148:D148"/>
    <mergeCell ref="E148:F148"/>
    <mergeCell ref="G148:H148"/>
    <mergeCell ref="I148:J148"/>
    <mergeCell ref="K148:L148"/>
    <mergeCell ref="C147:D147"/>
    <mergeCell ref="E147:F147"/>
    <mergeCell ref="G147:H147"/>
    <mergeCell ref="I147:J147"/>
    <mergeCell ref="K147:L147"/>
    <mergeCell ref="M147:N147"/>
    <mergeCell ref="A146:B146"/>
    <mergeCell ref="C146:D146"/>
    <mergeCell ref="E146:F146"/>
    <mergeCell ref="G146:H146"/>
    <mergeCell ref="I146:J146"/>
    <mergeCell ref="K146:L146"/>
    <mergeCell ref="M144:N144"/>
    <mergeCell ref="A145:B145"/>
    <mergeCell ref="C145:D145"/>
    <mergeCell ref="E145:F145"/>
    <mergeCell ref="G145:H145"/>
    <mergeCell ref="I145:J145"/>
    <mergeCell ref="K145:L145"/>
    <mergeCell ref="M145:N145"/>
    <mergeCell ref="A144:B144"/>
    <mergeCell ref="C144:D144"/>
    <mergeCell ref="E144:F144"/>
    <mergeCell ref="G144:H144"/>
    <mergeCell ref="I144:J144"/>
    <mergeCell ref="K144:L144"/>
    <mergeCell ref="M146:N146"/>
    <mergeCell ref="A147:B147"/>
    <mergeCell ref="A142:N142"/>
    <mergeCell ref="A143:B143"/>
    <mergeCell ref="C143:D143"/>
    <mergeCell ref="E143:F143"/>
    <mergeCell ref="G143:H143"/>
    <mergeCell ref="I143:J143"/>
    <mergeCell ref="K143:L143"/>
    <mergeCell ref="M143:N143"/>
    <mergeCell ref="M139:N139"/>
    <mergeCell ref="A140:B140"/>
    <mergeCell ref="C140:D140"/>
    <mergeCell ref="E140:F140"/>
    <mergeCell ref="G140:H140"/>
    <mergeCell ref="I140:J140"/>
    <mergeCell ref="K140:L140"/>
    <mergeCell ref="M140:N140"/>
    <mergeCell ref="A139:B139"/>
    <mergeCell ref="C139:D139"/>
    <mergeCell ref="E139:F139"/>
    <mergeCell ref="G139:H139"/>
    <mergeCell ref="I139:J139"/>
    <mergeCell ref="K139:L139"/>
    <mergeCell ref="M141:N141"/>
    <mergeCell ref="A141:B141"/>
    <mergeCell ref="C141:D141"/>
    <mergeCell ref="E141:F141"/>
    <mergeCell ref="G141:H141"/>
    <mergeCell ref="I141:J141"/>
    <mergeCell ref="K141:L141"/>
    <mergeCell ref="M137:N137"/>
    <mergeCell ref="A138:B138"/>
    <mergeCell ref="C138:D138"/>
    <mergeCell ref="E138:F138"/>
    <mergeCell ref="G138:H138"/>
    <mergeCell ref="I138:J138"/>
    <mergeCell ref="K138:L138"/>
    <mergeCell ref="M138:N138"/>
    <mergeCell ref="A137:B137"/>
    <mergeCell ref="C137:D137"/>
    <mergeCell ref="E137:F137"/>
    <mergeCell ref="G137:H137"/>
    <mergeCell ref="I137:J137"/>
    <mergeCell ref="K137:L137"/>
    <mergeCell ref="M135:N135"/>
    <mergeCell ref="A136:B136"/>
    <mergeCell ref="C136:D136"/>
    <mergeCell ref="E136:F136"/>
    <mergeCell ref="G136:H136"/>
    <mergeCell ref="I136:J136"/>
    <mergeCell ref="K136:L136"/>
    <mergeCell ref="M136:N136"/>
    <mergeCell ref="A135:B135"/>
    <mergeCell ref="C135:D135"/>
    <mergeCell ref="E135:F135"/>
    <mergeCell ref="G135:H135"/>
    <mergeCell ref="I135:J135"/>
    <mergeCell ref="K135:L135"/>
    <mergeCell ref="M133:N133"/>
    <mergeCell ref="A134:B134"/>
    <mergeCell ref="C134:D134"/>
    <mergeCell ref="E134:F134"/>
    <mergeCell ref="G134:H134"/>
    <mergeCell ref="I134:J134"/>
    <mergeCell ref="K134:L134"/>
    <mergeCell ref="M134:N134"/>
    <mergeCell ref="A133:B133"/>
    <mergeCell ref="C133:D133"/>
    <mergeCell ref="E133:F133"/>
    <mergeCell ref="G133:H133"/>
    <mergeCell ref="I133:J133"/>
    <mergeCell ref="K133:L133"/>
    <mergeCell ref="A131:N131"/>
    <mergeCell ref="A132:B132"/>
    <mergeCell ref="C132:D132"/>
    <mergeCell ref="E132:F132"/>
    <mergeCell ref="G132:H132"/>
    <mergeCell ref="I132:J132"/>
    <mergeCell ref="A117:B117"/>
    <mergeCell ref="I43:K43"/>
    <mergeCell ref="P42:P43"/>
    <mergeCell ref="S42:S43"/>
    <mergeCell ref="A42:B42"/>
    <mergeCell ref="K132:L132"/>
    <mergeCell ref="M132:N132"/>
    <mergeCell ref="A49:K49"/>
    <mergeCell ref="L49:N49"/>
    <mergeCell ref="AK70:AK71"/>
    <mergeCell ref="AK74:AK75"/>
    <mergeCell ref="I82:J82"/>
    <mergeCell ref="K82:L82"/>
    <mergeCell ref="J72:N72"/>
    <mergeCell ref="J71:N71"/>
    <mergeCell ref="AK72:AK73"/>
    <mergeCell ref="E71:I71"/>
    <mergeCell ref="K114:L114"/>
    <mergeCell ref="G112:H112"/>
    <mergeCell ref="G114:H114"/>
    <mergeCell ref="I112:J112"/>
    <mergeCell ref="I113:J113"/>
    <mergeCell ref="AK76:AK77"/>
    <mergeCell ref="AK78:AK79"/>
    <mergeCell ref="K113:L113"/>
    <mergeCell ref="M116:N116"/>
    <mergeCell ref="M117:N117"/>
    <mergeCell ref="A118:B118"/>
    <mergeCell ref="M118:N118"/>
    <mergeCell ref="I114:J114"/>
    <mergeCell ref="I115:J115"/>
    <mergeCell ref="A119:B119"/>
    <mergeCell ref="C111:D111"/>
    <mergeCell ref="E111:F111"/>
    <mergeCell ref="G111:H111"/>
    <mergeCell ref="C119:D119"/>
    <mergeCell ref="E112:F112"/>
    <mergeCell ref="G113:H113"/>
    <mergeCell ref="C118:D118"/>
    <mergeCell ref="G118:H118"/>
    <mergeCell ref="C113:D113"/>
    <mergeCell ref="M119:N119"/>
    <mergeCell ref="C117:D117"/>
    <mergeCell ref="I118:J118"/>
    <mergeCell ref="I119:J119"/>
    <mergeCell ref="G119:H119"/>
    <mergeCell ref="K118:L118"/>
    <mergeCell ref="K119:L119"/>
    <mergeCell ref="E119:F119"/>
    <mergeCell ref="I117:J117"/>
    <mergeCell ref="G116:H116"/>
    <mergeCell ref="G117:H117"/>
    <mergeCell ref="K115:L115"/>
    <mergeCell ref="K116:L116"/>
    <mergeCell ref="K117:L117"/>
    <mergeCell ref="E113:F113"/>
    <mergeCell ref="I111:J111"/>
    <mergeCell ref="K111:L111"/>
    <mergeCell ref="E117:F117"/>
    <mergeCell ref="E118:F118"/>
    <mergeCell ref="C116:D116"/>
    <mergeCell ref="E116:F116"/>
    <mergeCell ref="M112:N112"/>
    <mergeCell ref="M113:N113"/>
    <mergeCell ref="A111:B111"/>
    <mergeCell ref="A112:B112"/>
    <mergeCell ref="M111:N111"/>
    <mergeCell ref="K129:L129"/>
    <mergeCell ref="K123:L123"/>
    <mergeCell ref="K124:L124"/>
    <mergeCell ref="K125:L125"/>
    <mergeCell ref="K126:L126"/>
    <mergeCell ref="M128:N128"/>
    <mergeCell ref="M129:N129"/>
    <mergeCell ref="M123:N123"/>
    <mergeCell ref="M124:N124"/>
    <mergeCell ref="M125:N125"/>
    <mergeCell ref="M126:N126"/>
    <mergeCell ref="M127:N127"/>
    <mergeCell ref="K127:L127"/>
    <mergeCell ref="K128:L128"/>
    <mergeCell ref="G127:H127"/>
    <mergeCell ref="G128:H128"/>
    <mergeCell ref="G129:H129"/>
    <mergeCell ref="I123:J123"/>
    <mergeCell ref="I124:J124"/>
    <mergeCell ref="I125:J125"/>
    <mergeCell ref="I126:J126"/>
    <mergeCell ref="I127:J127"/>
    <mergeCell ref="I128:J128"/>
    <mergeCell ref="I129:J129"/>
    <mergeCell ref="C127:D127"/>
    <mergeCell ref="C128:D128"/>
    <mergeCell ref="C129:D129"/>
    <mergeCell ref="E123:F123"/>
    <mergeCell ref="E124:F124"/>
    <mergeCell ref="E125:F125"/>
    <mergeCell ref="E126:F126"/>
    <mergeCell ref="E127:F127"/>
    <mergeCell ref="E128:F128"/>
    <mergeCell ref="E129:F129"/>
    <mergeCell ref="C124:D124"/>
    <mergeCell ref="C125:D125"/>
    <mergeCell ref="C126:D126"/>
    <mergeCell ref="G123:H123"/>
    <mergeCell ref="G124:H124"/>
    <mergeCell ref="G125:H125"/>
    <mergeCell ref="G126:H126"/>
    <mergeCell ref="C123:D123"/>
    <mergeCell ref="A116:B116"/>
    <mergeCell ref="C112:D112"/>
    <mergeCell ref="AF58:AF59"/>
    <mergeCell ref="AF60:AF61"/>
    <mergeCell ref="E115:F115"/>
    <mergeCell ref="K112:L112"/>
    <mergeCell ref="G115:H115"/>
    <mergeCell ref="S58:S59"/>
    <mergeCell ref="M115:N115"/>
    <mergeCell ref="I116:J116"/>
    <mergeCell ref="A72:D72"/>
    <mergeCell ref="E72:I72"/>
    <mergeCell ref="E75:I75"/>
    <mergeCell ref="K81:L81"/>
    <mergeCell ref="M81:N81"/>
    <mergeCell ref="C81:D81"/>
    <mergeCell ref="J74:N74"/>
    <mergeCell ref="E81:F81"/>
    <mergeCell ref="E73:I73"/>
    <mergeCell ref="K48:L48"/>
    <mergeCell ref="I48:J48"/>
    <mergeCell ref="A50:K50"/>
    <mergeCell ref="G48:H48"/>
    <mergeCell ref="A48:B48"/>
    <mergeCell ref="C48:D48"/>
    <mergeCell ref="W42:W43"/>
    <mergeCell ref="U42:U43"/>
    <mergeCell ref="V42:V43"/>
    <mergeCell ref="T42:T43"/>
    <mergeCell ref="C43:D43"/>
    <mergeCell ref="A54:K54"/>
    <mergeCell ref="AB44:AB45"/>
    <mergeCell ref="L54:N54"/>
    <mergeCell ref="S46:T47"/>
    <mergeCell ref="L50:N50"/>
    <mergeCell ref="A51:K51"/>
    <mergeCell ref="L51:N51"/>
    <mergeCell ref="M48:N48"/>
    <mergeCell ref="K47:L47"/>
    <mergeCell ref="E48:F48"/>
    <mergeCell ref="A47:B47"/>
    <mergeCell ref="C47:D47"/>
    <mergeCell ref="W49:Y49"/>
    <mergeCell ref="E47:F47"/>
    <mergeCell ref="A46:B46"/>
    <mergeCell ref="A43:B43"/>
    <mergeCell ref="E43:F43"/>
    <mergeCell ref="G43:H43"/>
    <mergeCell ref="P44:P45"/>
    <mergeCell ref="Q44:Q45"/>
    <mergeCell ref="M114:N114"/>
    <mergeCell ref="A61:D61"/>
    <mergeCell ref="A63:D63"/>
    <mergeCell ref="E61:I61"/>
    <mergeCell ref="J61:N61"/>
    <mergeCell ref="E62:I62"/>
    <mergeCell ref="AI58:AI59"/>
    <mergeCell ref="T58:T59"/>
    <mergeCell ref="U58:U59"/>
    <mergeCell ref="O42:O43"/>
    <mergeCell ref="M47:N47"/>
    <mergeCell ref="L43:N43"/>
    <mergeCell ref="AH52:AK52"/>
    <mergeCell ref="R58:R59"/>
    <mergeCell ref="E114:F114"/>
    <mergeCell ref="Y42:Y43"/>
    <mergeCell ref="AC42:AC43"/>
    <mergeCell ref="AD42:AD43"/>
    <mergeCell ref="A113:B113"/>
    <mergeCell ref="C114:D114"/>
    <mergeCell ref="AI72:AI73"/>
    <mergeCell ref="AI74:AI75"/>
    <mergeCell ref="AI62:AI63"/>
    <mergeCell ref="AF62:AF63"/>
    <mergeCell ref="AI68:AI69"/>
    <mergeCell ref="AI70:AI71"/>
    <mergeCell ref="AF70:AF71"/>
    <mergeCell ref="AF68:AF69"/>
    <mergeCell ref="AK64:AK65"/>
    <mergeCell ref="AK60:AK61"/>
    <mergeCell ref="J73:N73"/>
    <mergeCell ref="A64:D64"/>
    <mergeCell ref="C115:D115"/>
    <mergeCell ref="A114:B114"/>
    <mergeCell ref="A115:B115"/>
    <mergeCell ref="O50:Q50"/>
    <mergeCell ref="R42:R43"/>
    <mergeCell ref="R53:S54"/>
    <mergeCell ref="AB42:AB43"/>
    <mergeCell ref="O51:Q51"/>
    <mergeCell ref="AL22:AL23"/>
    <mergeCell ref="AL24:AL25"/>
    <mergeCell ref="AL26:AL27"/>
    <mergeCell ref="AP34:AP35"/>
    <mergeCell ref="AP38:AP39"/>
    <mergeCell ref="AP40:AP41"/>
    <mergeCell ref="AR22:AR23"/>
    <mergeCell ref="AR24:AR25"/>
    <mergeCell ref="AR26:AR27"/>
    <mergeCell ref="AM22:AM23"/>
    <mergeCell ref="AN22:AN23"/>
    <mergeCell ref="AO22:AO23"/>
    <mergeCell ref="AP22:AP23"/>
    <mergeCell ref="AQ42:AQ43"/>
    <mergeCell ref="AO38:AO39"/>
    <mergeCell ref="AN42:AN43"/>
    <mergeCell ref="AN30:AN31"/>
    <mergeCell ref="AP26:AP27"/>
    <mergeCell ref="AO26:AO27"/>
    <mergeCell ref="AQ22:AQ23"/>
    <mergeCell ref="AN24:AN25"/>
    <mergeCell ref="AM24:AM25"/>
    <mergeCell ref="AQ24:AQ25"/>
    <mergeCell ref="AP24:AP25"/>
    <mergeCell ref="AQ26:AQ27"/>
    <mergeCell ref="AQ28:AQ29"/>
    <mergeCell ref="AQ30:AQ31"/>
    <mergeCell ref="AQ32:AQ33"/>
    <mergeCell ref="AQ34:AQ35"/>
    <mergeCell ref="AO34:AO35"/>
    <mergeCell ref="AL28:AL29"/>
    <mergeCell ref="AN26:AN27"/>
    <mergeCell ref="AY1:AY2"/>
    <mergeCell ref="AR38:AR39"/>
    <mergeCell ref="AR40:AR41"/>
    <mergeCell ref="AR42:AR43"/>
    <mergeCell ref="AR44:AR45"/>
    <mergeCell ref="AS44:AS45"/>
    <mergeCell ref="AT32:AT33"/>
    <mergeCell ref="AY40:AY41"/>
    <mergeCell ref="AY42:AY43"/>
    <mergeCell ref="AY44:AY45"/>
    <mergeCell ref="AM44:AM45"/>
    <mergeCell ref="AW26:AW27"/>
    <mergeCell ref="AW28:AW29"/>
    <mergeCell ref="AW30:AW31"/>
    <mergeCell ref="AU24:AU25"/>
    <mergeCell ref="AU26:AU27"/>
    <mergeCell ref="AU28:AU29"/>
    <mergeCell ref="AV22:AV23"/>
    <mergeCell ref="AU44:AU45"/>
    <mergeCell ref="AV40:AV41"/>
    <mergeCell ref="AV42:AV43"/>
    <mergeCell ref="AU42:AU43"/>
    <mergeCell ref="AS42:AS43"/>
    <mergeCell ref="AT22:AT23"/>
    <mergeCell ref="AE16:AG16"/>
    <mergeCell ref="AP42:AP43"/>
    <mergeCell ref="AJ42:AK43"/>
    <mergeCell ref="AE42:AE43"/>
    <mergeCell ref="AI40:AI41"/>
    <mergeCell ref="AM32:AM33"/>
    <mergeCell ref="AM34:AM35"/>
    <mergeCell ref="AL36:AL37"/>
    <mergeCell ref="AJ36:AK37"/>
    <mergeCell ref="AJ38:AK39"/>
    <mergeCell ref="AO36:AO37"/>
    <mergeCell ref="BF22:BF23"/>
    <mergeCell ref="BF24:BF25"/>
    <mergeCell ref="BF26:BF27"/>
    <mergeCell ref="BD24:BD25"/>
    <mergeCell ref="BD22:BD23"/>
    <mergeCell ref="BE22:BE23"/>
    <mergeCell ref="BE24:BE25"/>
    <mergeCell ref="AT26:AT27"/>
    <mergeCell ref="BC28:BC29"/>
    <mergeCell ref="BC32:BC33"/>
    <mergeCell ref="BC30:BC31"/>
    <mergeCell ref="BB26:BB27"/>
    <mergeCell ref="AT28:AT29"/>
    <mergeCell ref="AT30:AT31"/>
    <mergeCell ref="AY32:AY33"/>
    <mergeCell ref="AX26:AX27"/>
    <mergeCell ref="BB32:BB33"/>
    <mergeCell ref="BB30:BB31"/>
    <mergeCell ref="BC22:BC23"/>
    <mergeCell ref="BC24:BC25"/>
    <mergeCell ref="AW24:AW25"/>
    <mergeCell ref="BA38:BA39"/>
    <mergeCell ref="BD40:BD41"/>
    <mergeCell ref="BD42:BD43"/>
    <mergeCell ref="BC38:BC39"/>
    <mergeCell ref="BF38:BF39"/>
    <mergeCell ref="BF40:BF41"/>
    <mergeCell ref="BF42:BF43"/>
    <mergeCell ref="BC26:BC27"/>
    <mergeCell ref="BF32:BF33"/>
    <mergeCell ref="BD34:BD35"/>
    <mergeCell ref="BD36:BD37"/>
    <mergeCell ref="BD38:BD39"/>
    <mergeCell ref="BE42:BE43"/>
    <mergeCell ref="BF30:BF31"/>
    <mergeCell ref="BF44:BF45"/>
    <mergeCell ref="BD28:BD29"/>
    <mergeCell ref="BD30:BD31"/>
    <mergeCell ref="BD32:BD33"/>
    <mergeCell ref="BE44:BE45"/>
    <mergeCell ref="BE32:BE33"/>
    <mergeCell ref="BF28:BF29"/>
    <mergeCell ref="BD44:BD45"/>
    <mergeCell ref="BF34:BF35"/>
    <mergeCell ref="BF36:BF37"/>
    <mergeCell ref="BE26:BE27"/>
    <mergeCell ref="BE28:BE29"/>
    <mergeCell ref="BE30:BE31"/>
    <mergeCell ref="BC44:BC45"/>
    <mergeCell ref="BE34:BE35"/>
    <mergeCell ref="BE36:BE37"/>
    <mergeCell ref="BE38:BE39"/>
    <mergeCell ref="BE40:BE41"/>
    <mergeCell ref="AZ22:AZ23"/>
    <mergeCell ref="BA32:BA33"/>
    <mergeCell ref="BB28:BB29"/>
    <mergeCell ref="AZ26:AZ27"/>
    <mergeCell ref="AZ28:AZ29"/>
    <mergeCell ref="BA24:BA25"/>
    <mergeCell ref="BA28:BA29"/>
    <mergeCell ref="AZ24:AZ25"/>
    <mergeCell ref="AZ32:AZ33"/>
    <mergeCell ref="AZ30:AZ31"/>
    <mergeCell ref="BA30:BA31"/>
    <mergeCell ref="BD26:BD27"/>
    <mergeCell ref="BB36:BB37"/>
    <mergeCell ref="BA36:BA37"/>
    <mergeCell ref="BB24:BB25"/>
    <mergeCell ref="BC36:BC37"/>
    <mergeCell ref="BA26:BA27"/>
    <mergeCell ref="BA22:BA23"/>
    <mergeCell ref="BB44:BB45"/>
    <mergeCell ref="AZ40:AZ41"/>
    <mergeCell ref="AZ42:AZ43"/>
    <mergeCell ref="BB38:BB39"/>
    <mergeCell ref="BA40:BA41"/>
    <mergeCell ref="BB40:BB41"/>
    <mergeCell ref="BC40:BC41"/>
    <mergeCell ref="BA34:BA35"/>
    <mergeCell ref="BB22:BB23"/>
    <mergeCell ref="AR34:AR35"/>
    <mergeCell ref="AR36:AR37"/>
    <mergeCell ref="AU30:AU31"/>
    <mergeCell ref="AU32:AU33"/>
    <mergeCell ref="AV32:AV33"/>
    <mergeCell ref="BB34:BB35"/>
    <mergeCell ref="AT44:AT45"/>
    <mergeCell ref="AT38:AT39"/>
    <mergeCell ref="AZ34:AZ35"/>
    <mergeCell ref="AZ36:AZ37"/>
    <mergeCell ref="AZ38:AZ39"/>
    <mergeCell ref="AZ44:AZ45"/>
    <mergeCell ref="AT36:AT37"/>
    <mergeCell ref="BA44:BA45"/>
    <mergeCell ref="BB42:BB43"/>
    <mergeCell ref="BA42:BA43"/>
    <mergeCell ref="BC34:BC35"/>
    <mergeCell ref="AX40:AX41"/>
    <mergeCell ref="AX42:AX43"/>
    <mergeCell ref="AX38:AX39"/>
    <mergeCell ref="AV24:AV25"/>
    <mergeCell ref="AV26:AV27"/>
    <mergeCell ref="AV28:AV29"/>
    <mergeCell ref="AW32:AW33"/>
    <mergeCell ref="AV30:AV31"/>
    <mergeCell ref="AW22:AW23"/>
    <mergeCell ref="AE38:AE39"/>
    <mergeCell ref="AE40:AE41"/>
    <mergeCell ref="AE30:AE31"/>
    <mergeCell ref="AJ30:AK31"/>
    <mergeCell ref="AU34:AU35"/>
    <mergeCell ref="AU36:AU37"/>
    <mergeCell ref="AU40:AU41"/>
    <mergeCell ref="AS40:AS41"/>
    <mergeCell ref="AT40:AT41"/>
    <mergeCell ref="AN34:AN35"/>
    <mergeCell ref="AR28:AR29"/>
    <mergeCell ref="AR30:AR31"/>
    <mergeCell ref="AR32:AR33"/>
    <mergeCell ref="S40:S41"/>
    <mergeCell ref="T40:T41"/>
    <mergeCell ref="Z34:Z35"/>
    <mergeCell ref="AA34:AA35"/>
    <mergeCell ref="AJ40:AK41"/>
    <mergeCell ref="AT24:AT25"/>
    <mergeCell ref="AS22:AS23"/>
    <mergeCell ref="AS24:AS25"/>
    <mergeCell ref="AS26:AS27"/>
    <mergeCell ref="AN38:AN39"/>
    <mergeCell ref="AM38:AM39"/>
    <mergeCell ref="AL38:AL39"/>
    <mergeCell ref="AN36:AN37"/>
    <mergeCell ref="AO32:AO33"/>
    <mergeCell ref="AJ34:AK35"/>
    <mergeCell ref="AP28:AP29"/>
    <mergeCell ref="AP30:AP31"/>
    <mergeCell ref="W40:W41"/>
    <mergeCell ref="V40:V41"/>
    <mergeCell ref="V36:V37"/>
    <mergeCell ref="AA36:AA37"/>
    <mergeCell ref="Y38:Y39"/>
    <mergeCell ref="AA38:AA39"/>
    <mergeCell ref="AB24:AB25"/>
    <mergeCell ref="AC24:AC25"/>
    <mergeCell ref="AC26:AC27"/>
    <mergeCell ref="AG28:AH29"/>
    <mergeCell ref="AN28:AN29"/>
    <mergeCell ref="AD30:AD31"/>
    <mergeCell ref="AI30:AI31"/>
    <mergeCell ref="AN32:AN33"/>
    <mergeCell ref="AG32:AH33"/>
    <mergeCell ref="AB26:AB27"/>
    <mergeCell ref="V26:V27"/>
    <mergeCell ref="V28:V29"/>
    <mergeCell ref="X28:X29"/>
    <mergeCell ref="Y26:Y27"/>
    <mergeCell ref="W36:W37"/>
    <mergeCell ref="X36:X37"/>
    <mergeCell ref="AM26:AM27"/>
    <mergeCell ref="AB32:AB33"/>
    <mergeCell ref="AC30:AC31"/>
    <mergeCell ref="AC28:AC29"/>
    <mergeCell ref="AB28:AB29"/>
    <mergeCell ref="AE26:AE27"/>
    <mergeCell ref="AD32:AD33"/>
    <mergeCell ref="AB36:AB37"/>
    <mergeCell ref="AF32:AF33"/>
    <mergeCell ref="AT34:AT35"/>
    <mergeCell ref="AY38:AY39"/>
    <mergeCell ref="AU22:AU23"/>
    <mergeCell ref="O28:O29"/>
    <mergeCell ref="L28:N28"/>
    <mergeCell ref="O26:O27"/>
    <mergeCell ref="S28:S29"/>
    <mergeCell ref="T28:T29"/>
    <mergeCell ref="U28:U29"/>
    <mergeCell ref="R28:R29"/>
    <mergeCell ref="W28:W29"/>
    <mergeCell ref="X26:X27"/>
    <mergeCell ref="AA26:AA27"/>
    <mergeCell ref="W26:W27"/>
    <mergeCell ref="Q26:Q27"/>
    <mergeCell ref="Z26:Z27"/>
    <mergeCell ref="T38:T39"/>
    <mergeCell ref="U38:U39"/>
    <mergeCell ref="V38:V39"/>
    <mergeCell ref="Z36:Z37"/>
    <mergeCell ref="U34:U35"/>
    <mergeCell ref="X38:X39"/>
    <mergeCell ref="Y36:Y37"/>
    <mergeCell ref="Y34:Y35"/>
    <mergeCell ref="V34:V35"/>
    <mergeCell ref="W34:W35"/>
    <mergeCell ref="T32:T33"/>
    <mergeCell ref="P30:P31"/>
    <mergeCell ref="Q30:Q31"/>
    <mergeCell ref="O32:O33"/>
    <mergeCell ref="P32:P33"/>
    <mergeCell ref="R36:R37"/>
    <mergeCell ref="S36:S37"/>
    <mergeCell ref="S32:S33"/>
    <mergeCell ref="R30:R31"/>
    <mergeCell ref="AE21:AK21"/>
    <mergeCell ref="AI22:AI23"/>
    <mergeCell ref="AJ22:AK23"/>
    <mergeCell ref="AC22:AE22"/>
    <mergeCell ref="P14:Q14"/>
    <mergeCell ref="S14:T14"/>
    <mergeCell ref="U14:V14"/>
    <mergeCell ref="S16:T16"/>
    <mergeCell ref="U16:AA16"/>
    <mergeCell ref="W14:X14"/>
    <mergeCell ref="Y14:Z14"/>
    <mergeCell ref="S22:S23"/>
    <mergeCell ref="Z24:Z25"/>
    <mergeCell ref="R26:R27"/>
    <mergeCell ref="AG22:AH23"/>
    <mergeCell ref="AI24:AI25"/>
    <mergeCell ref="AB16:AD16"/>
    <mergeCell ref="AJ24:AK25"/>
    <mergeCell ref="AJ26:AK27"/>
    <mergeCell ref="X20:AD20"/>
    <mergeCell ref="U20:W20"/>
    <mergeCell ref="X19:AD19"/>
    <mergeCell ref="AE19:AK19"/>
    <mergeCell ref="AA24:AA25"/>
    <mergeCell ref="Y24:Y25"/>
    <mergeCell ref="AH18:AK18"/>
    <mergeCell ref="AF20:AK20"/>
    <mergeCell ref="AE18:AG18"/>
    <mergeCell ref="U26:U27"/>
    <mergeCell ref="P22:P23"/>
    <mergeCell ref="P12:Q12"/>
    <mergeCell ref="S12:T12"/>
    <mergeCell ref="U12:V12"/>
    <mergeCell ref="W12:X12"/>
    <mergeCell ref="P11:Q11"/>
    <mergeCell ref="S11:T11"/>
    <mergeCell ref="U11:V11"/>
    <mergeCell ref="W11:X11"/>
    <mergeCell ref="Y11:Z11"/>
    <mergeCell ref="Y12:Z12"/>
    <mergeCell ref="Q24:Q25"/>
    <mergeCell ref="S19:T20"/>
    <mergeCell ref="U19:W19"/>
    <mergeCell ref="S24:S25"/>
    <mergeCell ref="U18:AD18"/>
    <mergeCell ref="Q22:Q23"/>
    <mergeCell ref="T24:T25"/>
    <mergeCell ref="V24:V25"/>
    <mergeCell ref="W24:W25"/>
    <mergeCell ref="U24:U25"/>
    <mergeCell ref="AB22:AB23"/>
    <mergeCell ref="AA22:AA23"/>
    <mergeCell ref="W22:W23"/>
    <mergeCell ref="Z22:Z23"/>
    <mergeCell ref="U10:V10"/>
    <mergeCell ref="W10:X10"/>
    <mergeCell ref="Y10:Z10"/>
    <mergeCell ref="P7:Q7"/>
    <mergeCell ref="S7:T7"/>
    <mergeCell ref="U7:V7"/>
    <mergeCell ref="W7:X7"/>
    <mergeCell ref="Y7:Z7"/>
    <mergeCell ref="P8:Q8"/>
    <mergeCell ref="S8:T8"/>
    <mergeCell ref="U8:V8"/>
    <mergeCell ref="W8:X8"/>
    <mergeCell ref="Y8:Z8"/>
    <mergeCell ref="P13:Q13"/>
    <mergeCell ref="S13:T13"/>
    <mergeCell ref="U13:V13"/>
    <mergeCell ref="W13:X13"/>
    <mergeCell ref="Y13:Z13"/>
    <mergeCell ref="U6:V6"/>
    <mergeCell ref="W6:X6"/>
    <mergeCell ref="Y6:Z6"/>
    <mergeCell ref="M7:N7"/>
    <mergeCell ref="A2:N2"/>
    <mergeCell ref="A4:N4"/>
    <mergeCell ref="A5:D5"/>
    <mergeCell ref="A6:D6"/>
    <mergeCell ref="E5:J5"/>
    <mergeCell ref="K5:N5"/>
    <mergeCell ref="E6:F6"/>
    <mergeCell ref="G6:H6"/>
    <mergeCell ref="I6:J6"/>
    <mergeCell ref="K6:L6"/>
    <mergeCell ref="A7:D7"/>
    <mergeCell ref="P9:Q9"/>
    <mergeCell ref="S9:T9"/>
    <mergeCell ref="U9:V9"/>
    <mergeCell ref="W9:X9"/>
    <mergeCell ref="Y9:Z9"/>
    <mergeCell ref="M8:N8"/>
    <mergeCell ref="K9:L9"/>
    <mergeCell ref="M9:N9"/>
    <mergeCell ref="M10:N10"/>
    <mergeCell ref="M13:N13"/>
    <mergeCell ref="M12:N12"/>
    <mergeCell ref="M14:N14"/>
    <mergeCell ref="K13:L13"/>
    <mergeCell ref="K12:L12"/>
    <mergeCell ref="K14:L14"/>
    <mergeCell ref="E13:F13"/>
    <mergeCell ref="I13:J13"/>
    <mergeCell ref="E12:F12"/>
    <mergeCell ref="P6:Q6"/>
    <mergeCell ref="M6:N6"/>
    <mergeCell ref="S6:T6"/>
    <mergeCell ref="P10:Q10"/>
    <mergeCell ref="S10:T10"/>
    <mergeCell ref="K8:L8"/>
    <mergeCell ref="I11:J11"/>
    <mergeCell ref="K11:L11"/>
    <mergeCell ref="G10:H10"/>
    <mergeCell ref="I10:J10"/>
    <mergeCell ref="E11:F11"/>
    <mergeCell ref="G11:H11"/>
    <mergeCell ref="M11:N11"/>
    <mergeCell ref="K7:L7"/>
    <mergeCell ref="E7:F7"/>
    <mergeCell ref="G9:H9"/>
    <mergeCell ref="I9:J9"/>
    <mergeCell ref="G14:H14"/>
    <mergeCell ref="I14:J14"/>
    <mergeCell ref="I12:J12"/>
    <mergeCell ref="E10:F10"/>
    <mergeCell ref="G13:H13"/>
    <mergeCell ref="O24:O25"/>
    <mergeCell ref="S30:S31"/>
    <mergeCell ref="X34:X35"/>
    <mergeCell ref="A8:D8"/>
    <mergeCell ref="A9:D9"/>
    <mergeCell ref="I7:J7"/>
    <mergeCell ref="A10:D10"/>
    <mergeCell ref="A11:D11"/>
    <mergeCell ref="E9:F9"/>
    <mergeCell ref="E8:F8"/>
    <mergeCell ref="G8:H8"/>
    <mergeCell ref="I8:J8"/>
    <mergeCell ref="G7:H7"/>
    <mergeCell ref="L23:N23"/>
    <mergeCell ref="C18:D18"/>
    <mergeCell ref="E23:F23"/>
    <mergeCell ref="A24:D24"/>
    <mergeCell ref="E24:F24"/>
    <mergeCell ref="G24:H24"/>
    <mergeCell ref="I24:J24"/>
    <mergeCell ref="E18:F18"/>
    <mergeCell ref="G12:H12"/>
    <mergeCell ref="A14:D14"/>
    <mergeCell ref="A15:D15"/>
    <mergeCell ref="E14:F14"/>
    <mergeCell ref="A17:B17"/>
    <mergeCell ref="C17:D17"/>
    <mergeCell ref="I17:J17"/>
    <mergeCell ref="G18:H18"/>
    <mergeCell ref="G26:H26"/>
    <mergeCell ref="I26:J26"/>
    <mergeCell ref="G35:H35"/>
    <mergeCell ref="T22:T23"/>
    <mergeCell ref="X22:X23"/>
    <mergeCell ref="Y22:Y23"/>
    <mergeCell ref="U22:U23"/>
    <mergeCell ref="V22:V23"/>
    <mergeCell ref="S26:S27"/>
    <mergeCell ref="T26:T27"/>
    <mergeCell ref="G34:H34"/>
    <mergeCell ref="A33:H33"/>
    <mergeCell ref="G29:H29"/>
    <mergeCell ref="I29:J29"/>
    <mergeCell ref="G28:H28"/>
    <mergeCell ref="I28:J28"/>
    <mergeCell ref="T34:T35"/>
    <mergeCell ref="I27:J27"/>
    <mergeCell ref="A29:D29"/>
    <mergeCell ref="E29:F29"/>
    <mergeCell ref="A22:D22"/>
    <mergeCell ref="R24:R25"/>
    <mergeCell ref="A25:D25"/>
    <mergeCell ref="L26:N26"/>
    <mergeCell ref="A30:D30"/>
    <mergeCell ref="E30:F30"/>
    <mergeCell ref="P28:P29"/>
    <mergeCell ref="I23:J23"/>
    <mergeCell ref="S18:T18"/>
    <mergeCell ref="P24:P25"/>
    <mergeCell ref="O22:O23"/>
    <mergeCell ref="L27:N27"/>
    <mergeCell ref="A27:D27"/>
    <mergeCell ref="A28:D28"/>
    <mergeCell ref="E25:F25"/>
    <mergeCell ref="E70:I70"/>
    <mergeCell ref="J59:N59"/>
    <mergeCell ref="A60:D60"/>
    <mergeCell ref="E60:I60"/>
    <mergeCell ref="J60:N60"/>
    <mergeCell ref="E68:I68"/>
    <mergeCell ref="A58:D58"/>
    <mergeCell ref="A26:D26"/>
    <mergeCell ref="A34:B34"/>
    <mergeCell ref="C34:D34"/>
    <mergeCell ref="G30:H30"/>
    <mergeCell ref="A37:N37"/>
    <mergeCell ref="A39:B39"/>
    <mergeCell ref="I33:K34"/>
    <mergeCell ref="I46:J46"/>
    <mergeCell ref="I47:J47"/>
    <mergeCell ref="M46:N46"/>
    <mergeCell ref="A41:N41"/>
    <mergeCell ref="E46:F46"/>
    <mergeCell ref="K46:L46"/>
    <mergeCell ref="O38:O39"/>
    <mergeCell ref="A45:N45"/>
    <mergeCell ref="O30:O31"/>
    <mergeCell ref="L42:N42"/>
    <mergeCell ref="G23:H23"/>
    <mergeCell ref="I22:J22"/>
    <mergeCell ref="O49:Q49"/>
    <mergeCell ref="M18:N18"/>
    <mergeCell ref="A20:N20"/>
    <mergeCell ref="A18:B18"/>
    <mergeCell ref="I18:J18"/>
    <mergeCell ref="E27:F27"/>
    <mergeCell ref="L25:N25"/>
    <mergeCell ref="L33:N34"/>
    <mergeCell ref="G39:H39"/>
    <mergeCell ref="I39:K39"/>
    <mergeCell ref="C35:D35"/>
    <mergeCell ref="L38:N38"/>
    <mergeCell ref="A23:D23"/>
    <mergeCell ref="G25:H25"/>
    <mergeCell ref="I25:J25"/>
    <mergeCell ref="I38:K38"/>
    <mergeCell ref="L29:N29"/>
    <mergeCell ref="E28:F28"/>
    <mergeCell ref="E26:F26"/>
    <mergeCell ref="C39:D39"/>
    <mergeCell ref="I35:K35"/>
    <mergeCell ref="L35:N35"/>
    <mergeCell ref="E35:F35"/>
    <mergeCell ref="A35:B35"/>
    <mergeCell ref="C38:D38"/>
    <mergeCell ref="L30:N30"/>
    <mergeCell ref="E34:F34"/>
    <mergeCell ref="L39:N39"/>
    <mergeCell ref="E38:F38"/>
    <mergeCell ref="K18:L18"/>
    <mergeCell ref="A73:D73"/>
    <mergeCell ref="A81:B81"/>
    <mergeCell ref="A80:N80"/>
    <mergeCell ref="G81:H81"/>
    <mergeCell ref="I81:J81"/>
    <mergeCell ref="A76:D76"/>
    <mergeCell ref="E76:I76"/>
    <mergeCell ref="J76:N76"/>
    <mergeCell ref="G82:H82"/>
    <mergeCell ref="E64:I64"/>
    <mergeCell ref="J70:N70"/>
    <mergeCell ref="A71:D71"/>
    <mergeCell ref="J68:N68"/>
    <mergeCell ref="A70:D70"/>
    <mergeCell ref="L52:N52"/>
    <mergeCell ref="A53:K53"/>
    <mergeCell ref="L53:N53"/>
    <mergeCell ref="A69:D69"/>
    <mergeCell ref="E69:I69"/>
    <mergeCell ref="E63:I63"/>
    <mergeCell ref="J63:N63"/>
    <mergeCell ref="A68:D68"/>
    <mergeCell ref="J69:N69"/>
    <mergeCell ref="A62:D62"/>
    <mergeCell ref="A67:D67"/>
    <mergeCell ref="E67:N67"/>
    <mergeCell ref="E58:N58"/>
    <mergeCell ref="A59:D59"/>
    <mergeCell ref="E59:I59"/>
    <mergeCell ref="A52:K52"/>
    <mergeCell ref="A57:N57"/>
    <mergeCell ref="J64:N64"/>
    <mergeCell ref="A85:B85"/>
    <mergeCell ref="M86:N86"/>
    <mergeCell ref="M87:N87"/>
    <mergeCell ref="A86:B86"/>
    <mergeCell ref="C86:D86"/>
    <mergeCell ref="E86:F86"/>
    <mergeCell ref="G86:H86"/>
    <mergeCell ref="I86:J86"/>
    <mergeCell ref="K86:L86"/>
    <mergeCell ref="C87:D87"/>
    <mergeCell ref="E87:F87"/>
    <mergeCell ref="G87:H87"/>
    <mergeCell ref="I87:J87"/>
    <mergeCell ref="K87:L87"/>
    <mergeCell ref="E85:F85"/>
    <mergeCell ref="G85:H85"/>
    <mergeCell ref="I85:J85"/>
    <mergeCell ref="K85:L85"/>
    <mergeCell ref="M85:N85"/>
    <mergeCell ref="A88:B88"/>
    <mergeCell ref="C88:D88"/>
    <mergeCell ref="E88:F88"/>
    <mergeCell ref="A91:N91"/>
    <mergeCell ref="I92:J92"/>
    <mergeCell ref="G88:H88"/>
    <mergeCell ref="I88:J88"/>
    <mergeCell ref="K88:L88"/>
    <mergeCell ref="G92:H92"/>
    <mergeCell ref="A89:B89"/>
    <mergeCell ref="A87:B87"/>
    <mergeCell ref="M92:N92"/>
    <mergeCell ref="C89:D89"/>
    <mergeCell ref="E89:F89"/>
    <mergeCell ref="G89:H89"/>
    <mergeCell ref="I89:J89"/>
    <mergeCell ref="K89:L89"/>
    <mergeCell ref="A92:B92"/>
    <mergeCell ref="C92:D92"/>
    <mergeCell ref="K92:L92"/>
    <mergeCell ref="E92:F92"/>
    <mergeCell ref="A12:D12"/>
    <mergeCell ref="A13:D13"/>
    <mergeCell ref="K10:L10"/>
    <mergeCell ref="K17:L17"/>
    <mergeCell ref="M17:N17"/>
    <mergeCell ref="E17:F17"/>
    <mergeCell ref="A16:N16"/>
    <mergeCell ref="G17:H17"/>
    <mergeCell ref="C46:D46"/>
    <mergeCell ref="A38:B38"/>
    <mergeCell ref="P26:P27"/>
    <mergeCell ref="Q28:Q29"/>
    <mergeCell ref="I30:J30"/>
    <mergeCell ref="G22:H22"/>
    <mergeCell ref="O44:O45"/>
    <mergeCell ref="G27:H27"/>
    <mergeCell ref="P38:P39"/>
    <mergeCell ref="P36:P37"/>
    <mergeCell ref="O40:O41"/>
    <mergeCell ref="P40:P41"/>
    <mergeCell ref="Q40:Q41"/>
    <mergeCell ref="L24:N24"/>
    <mergeCell ref="E39:F39"/>
    <mergeCell ref="G42:H42"/>
    <mergeCell ref="G38:H38"/>
    <mergeCell ref="E42:F42"/>
    <mergeCell ref="I42:K42"/>
    <mergeCell ref="C42:D42"/>
    <mergeCell ref="E22:F22"/>
    <mergeCell ref="K21:N21"/>
    <mergeCell ref="A21:D21"/>
    <mergeCell ref="E21:J21"/>
    <mergeCell ref="A98:B98"/>
    <mergeCell ref="C98:D98"/>
    <mergeCell ref="E98:F98"/>
    <mergeCell ref="G98:H98"/>
    <mergeCell ref="G96:H96"/>
    <mergeCell ref="E97:F97"/>
    <mergeCell ref="A97:B97"/>
    <mergeCell ref="C97:D97"/>
    <mergeCell ref="G97:H97"/>
    <mergeCell ref="I98:J98"/>
    <mergeCell ref="K98:L98"/>
    <mergeCell ref="I96:J96"/>
    <mergeCell ref="K97:L97"/>
    <mergeCell ref="K96:L96"/>
    <mergeCell ref="K93:L93"/>
    <mergeCell ref="I94:J94"/>
    <mergeCell ref="I93:J93"/>
    <mergeCell ref="K94:L94"/>
    <mergeCell ref="A94:B94"/>
    <mergeCell ref="G94:H94"/>
    <mergeCell ref="C94:D94"/>
    <mergeCell ref="A95:B95"/>
    <mergeCell ref="A96:B96"/>
    <mergeCell ref="C96:D96"/>
    <mergeCell ref="E94:F94"/>
    <mergeCell ref="A93:B93"/>
    <mergeCell ref="C93:D93"/>
    <mergeCell ref="E93:F93"/>
    <mergeCell ref="G93:H93"/>
    <mergeCell ref="G95:H95"/>
    <mergeCell ref="E96:F96"/>
    <mergeCell ref="C95:D95"/>
    <mergeCell ref="P34:P35"/>
    <mergeCell ref="Q34:Q35"/>
    <mergeCell ref="O36:O37"/>
    <mergeCell ref="Q32:Q33"/>
    <mergeCell ref="O34:O35"/>
    <mergeCell ref="R44:R45"/>
    <mergeCell ref="AI26:AI27"/>
    <mergeCell ref="AI28:AI29"/>
    <mergeCell ref="AF30:AF31"/>
    <mergeCell ref="U32:U33"/>
    <mergeCell ref="R32:R33"/>
    <mergeCell ref="T36:T37"/>
    <mergeCell ref="Y40:Y41"/>
    <mergeCell ref="AA30:AA31"/>
    <mergeCell ref="Y44:Y45"/>
    <mergeCell ref="Z32:Z33"/>
    <mergeCell ref="Y30:Y31"/>
    <mergeCell ref="V32:V33"/>
    <mergeCell ref="X32:X33"/>
    <mergeCell ref="W30:W31"/>
    <mergeCell ref="Y32:Y33"/>
    <mergeCell ref="Q42:Q43"/>
    <mergeCell ref="T30:T31"/>
    <mergeCell ref="U30:U31"/>
    <mergeCell ref="S34:S35"/>
    <mergeCell ref="Q36:Q37"/>
    <mergeCell ref="R34:R35"/>
    <mergeCell ref="AF26:AF27"/>
    <mergeCell ref="S38:S39"/>
    <mergeCell ref="Y28:Y29"/>
    <mergeCell ref="AA28:AA29"/>
    <mergeCell ref="Z28:Z29"/>
    <mergeCell ref="AG24:AH25"/>
    <mergeCell ref="AG26:AH27"/>
    <mergeCell ref="AD34:AD35"/>
    <mergeCell ref="AM36:AM37"/>
    <mergeCell ref="AM28:AM29"/>
    <mergeCell ref="AE32:AE33"/>
    <mergeCell ref="AI36:AI37"/>
    <mergeCell ref="AL34:AL35"/>
    <mergeCell ref="AC34:AC35"/>
    <mergeCell ref="W32:W33"/>
    <mergeCell ref="AJ32:AK33"/>
    <mergeCell ref="AJ28:AK29"/>
    <mergeCell ref="AF36:AF37"/>
    <mergeCell ref="AD36:AD37"/>
    <mergeCell ref="AC36:AC37"/>
    <mergeCell ref="AE36:AE37"/>
    <mergeCell ref="X24:X25"/>
    <mergeCell ref="AT42:AT43"/>
    <mergeCell ref="AM30:AM31"/>
    <mergeCell ref="AO28:AO29"/>
    <mergeCell ref="AO30:AO31"/>
    <mergeCell ref="AM42:AM43"/>
    <mergeCell ref="AO42:AO43"/>
    <mergeCell ref="AS28:AS29"/>
    <mergeCell ref="AG30:AH31"/>
    <mergeCell ref="AG34:AH35"/>
    <mergeCell ref="AN40:AN41"/>
    <mergeCell ref="AI34:AI35"/>
    <mergeCell ref="AP32:AP33"/>
    <mergeCell ref="AO40:AO41"/>
    <mergeCell ref="AG36:AH37"/>
    <mergeCell ref="AE34:AE35"/>
    <mergeCell ref="Z44:Z45"/>
    <mergeCell ref="AA44:AA45"/>
    <mergeCell ref="Z38:Z39"/>
    <mergeCell ref="AJ44:AK45"/>
    <mergeCell ref="AL30:AL31"/>
    <mergeCell ref="AL32:AL33"/>
    <mergeCell ref="AD44:AD45"/>
    <mergeCell ref="AF34:AF35"/>
    <mergeCell ref="AI32:AI33"/>
    <mergeCell ref="AC32:AC33"/>
    <mergeCell ref="Z30:Z31"/>
    <mergeCell ref="AB38:AB39"/>
    <mergeCell ref="AI38:AI39"/>
    <mergeCell ref="AC38:AC39"/>
    <mergeCell ref="AD38:AD39"/>
    <mergeCell ref="AF38:AF39"/>
    <mergeCell ref="AD40:AD41"/>
    <mergeCell ref="AC44:AC45"/>
    <mergeCell ref="AA32:AA33"/>
    <mergeCell ref="X30:X31"/>
    <mergeCell ref="V30:V31"/>
    <mergeCell ref="AA40:AA41"/>
    <mergeCell ref="AG38:AH39"/>
    <mergeCell ref="AD58:AE59"/>
    <mergeCell ref="T54:V54"/>
    <mergeCell ref="AB30:AB31"/>
    <mergeCell ref="AB34:AB35"/>
    <mergeCell ref="X40:X41"/>
    <mergeCell ref="AC40:AC41"/>
    <mergeCell ref="AB40:AB41"/>
    <mergeCell ref="W38:W39"/>
    <mergeCell ref="U40:U41"/>
    <mergeCell ref="G99:H99"/>
    <mergeCell ref="I99:J99"/>
    <mergeCell ref="AB58:AC59"/>
    <mergeCell ref="U60:U61"/>
    <mergeCell ref="V62:V63"/>
    <mergeCell ref="V58:V59"/>
    <mergeCell ref="U51:V51"/>
    <mergeCell ref="W51:X51"/>
    <mergeCell ref="AA51:AD51"/>
    <mergeCell ref="AE51:AI51"/>
    <mergeCell ref="R68:R69"/>
    <mergeCell ref="AD76:AE77"/>
    <mergeCell ref="R70:R71"/>
    <mergeCell ref="S82:Y82"/>
    <mergeCell ref="Z82:AI82"/>
    <mergeCell ref="AI76:AI77"/>
    <mergeCell ref="U36:U37"/>
    <mergeCell ref="S52:T52"/>
    <mergeCell ref="AW44:AW45"/>
    <mergeCell ref="AO44:AO45"/>
    <mergeCell ref="AY36:AY37"/>
    <mergeCell ref="AB76:AC77"/>
    <mergeCell ref="M84:N84"/>
    <mergeCell ref="I97:J97"/>
    <mergeCell ref="AA58:AA59"/>
    <mergeCell ref="S60:S61"/>
    <mergeCell ref="AA72:AA73"/>
    <mergeCell ref="AW36:AW37"/>
    <mergeCell ref="AW38:AW39"/>
    <mergeCell ref="M98:N98"/>
    <mergeCell ref="AV36:AV37"/>
    <mergeCell ref="AV38:AV39"/>
    <mergeCell ref="AF40:AF41"/>
    <mergeCell ref="AF42:AF43"/>
    <mergeCell ref="AF44:AF45"/>
    <mergeCell ref="M96:N96"/>
    <mergeCell ref="M95:N95"/>
    <mergeCell ref="M88:N88"/>
    <mergeCell ref="M97:N97"/>
    <mergeCell ref="AP44:AP45"/>
    <mergeCell ref="S44:S45"/>
    <mergeCell ref="T44:T45"/>
    <mergeCell ref="R38:R39"/>
    <mergeCell ref="R40:R41"/>
    <mergeCell ref="Q38:Q39"/>
    <mergeCell ref="A66:N66"/>
    <mergeCell ref="Y68:Y69"/>
    <mergeCell ref="AH49:AI49"/>
    <mergeCell ref="U49:V49"/>
    <mergeCell ref="A99:B99"/>
    <mergeCell ref="AX44:AX45"/>
    <mergeCell ref="AA66:AA67"/>
    <mergeCell ref="AI56:AI57"/>
    <mergeCell ref="AX32:AX33"/>
    <mergeCell ref="AW40:AW41"/>
    <mergeCell ref="V66:V67"/>
    <mergeCell ref="S78:S79"/>
    <mergeCell ref="U78:U79"/>
    <mergeCell ref="V70:V71"/>
    <mergeCell ref="T70:T71"/>
    <mergeCell ref="U70:U71"/>
    <mergeCell ref="R72:R73"/>
    <mergeCell ref="R74:R75"/>
    <mergeCell ref="R76:R77"/>
    <mergeCell ref="T74:T75"/>
    <mergeCell ref="U74:U75"/>
    <mergeCell ref="V74:V75"/>
    <mergeCell ref="S76:S77"/>
    <mergeCell ref="T76:T77"/>
    <mergeCell ref="S72:S73"/>
    <mergeCell ref="T72:T73"/>
    <mergeCell ref="X64:X65"/>
    <mergeCell ref="AF64:AF65"/>
    <mergeCell ref="AQ40:AQ41"/>
    <mergeCell ref="AQ36:AQ37"/>
    <mergeCell ref="AP36:AP37"/>
    <mergeCell ref="AQ38:AQ39"/>
    <mergeCell ref="AS32:AS33"/>
    <mergeCell ref="AS34:AS35"/>
    <mergeCell ref="AF78:AF79"/>
    <mergeCell ref="AA76:AA77"/>
    <mergeCell ref="AD66:AE67"/>
    <mergeCell ref="T66:T67"/>
    <mergeCell ref="T68:T69"/>
    <mergeCell ref="V72:V73"/>
    <mergeCell ref="W70:W71"/>
    <mergeCell ref="U66:U67"/>
    <mergeCell ref="AB66:AC67"/>
    <mergeCell ref="X66:X67"/>
    <mergeCell ref="S66:S67"/>
    <mergeCell ref="X72:X73"/>
    <mergeCell ref="X76:X77"/>
    <mergeCell ref="S68:S69"/>
    <mergeCell ref="K99:L99"/>
    <mergeCell ref="M99:N99"/>
    <mergeCell ref="M93:N93"/>
    <mergeCell ref="M89:N89"/>
    <mergeCell ref="AB72:AC73"/>
    <mergeCell ref="AA70:AA71"/>
    <mergeCell ref="AE83:AG83"/>
    <mergeCell ref="M94:N94"/>
    <mergeCell ref="K95:L95"/>
    <mergeCell ref="K84:L84"/>
    <mergeCell ref="A77:N77"/>
    <mergeCell ref="A75:D75"/>
    <mergeCell ref="J75:N75"/>
    <mergeCell ref="A82:B82"/>
    <mergeCell ref="K83:L83"/>
    <mergeCell ref="A83:B83"/>
    <mergeCell ref="M82:N82"/>
    <mergeCell ref="M83:N83"/>
    <mergeCell ref="C83:D83"/>
    <mergeCell ref="A84:B84"/>
    <mergeCell ref="S70:S71"/>
    <mergeCell ref="V68:V69"/>
    <mergeCell ref="W66:W67"/>
    <mergeCell ref="Y62:Y63"/>
    <mergeCell ref="C99:D99"/>
    <mergeCell ref="E99:F99"/>
    <mergeCell ref="X74:X75"/>
    <mergeCell ref="Y74:Y75"/>
    <mergeCell ref="U76:U77"/>
    <mergeCell ref="V76:V77"/>
    <mergeCell ref="V78:V79"/>
    <mergeCell ref="S85:T85"/>
    <mergeCell ref="Y76:Y77"/>
    <mergeCell ref="W72:W73"/>
    <mergeCell ref="W76:W77"/>
    <mergeCell ref="S74:S75"/>
    <mergeCell ref="W74:W75"/>
    <mergeCell ref="E95:F95"/>
    <mergeCell ref="I95:J95"/>
    <mergeCell ref="C85:D85"/>
    <mergeCell ref="E83:F83"/>
    <mergeCell ref="G83:H83"/>
    <mergeCell ref="C82:D82"/>
    <mergeCell ref="I83:J83"/>
    <mergeCell ref="E82:F82"/>
    <mergeCell ref="J62:N62"/>
    <mergeCell ref="C84:D84"/>
    <mergeCell ref="E84:F84"/>
    <mergeCell ref="G84:H84"/>
    <mergeCell ref="I84:J84"/>
    <mergeCell ref="A74:D74"/>
    <mergeCell ref="E74:I74"/>
    <mergeCell ref="AC49:AD49"/>
    <mergeCell ref="AS36:AS37"/>
    <mergeCell ref="AS38:AS39"/>
    <mergeCell ref="AE44:AE45"/>
    <mergeCell ref="AG42:AH43"/>
    <mergeCell ref="AW34:AW35"/>
    <mergeCell ref="AS30:AS31"/>
    <mergeCell ref="BC42:BC43"/>
    <mergeCell ref="AO24:AO25"/>
    <mergeCell ref="AV34:AV35"/>
    <mergeCell ref="U46:AK47"/>
    <mergeCell ref="X42:X43"/>
    <mergeCell ref="Z42:Z43"/>
    <mergeCell ref="AA42:AA43"/>
    <mergeCell ref="AI44:AI45"/>
    <mergeCell ref="AJ70:AJ71"/>
    <mergeCell ref="AJ72:AJ73"/>
    <mergeCell ref="AJ64:AJ65"/>
    <mergeCell ref="AK66:AK67"/>
    <mergeCell ref="AK68:AK69"/>
    <mergeCell ref="AK58:AK59"/>
    <mergeCell ref="AK62:AK63"/>
    <mergeCell ref="S50:X50"/>
    <mergeCell ref="S51:T51"/>
    <mergeCell ref="AJ66:AJ67"/>
    <mergeCell ref="AD56:AE57"/>
    <mergeCell ref="AK56:AK57"/>
    <mergeCell ref="AE52:AG52"/>
    <mergeCell ref="AF54:AK54"/>
    <mergeCell ref="U52:AD52"/>
    <mergeCell ref="AB62:AC63"/>
    <mergeCell ref="AE49:AG49"/>
    <mergeCell ref="AJ56:AJ57"/>
    <mergeCell ref="AJ58:AJ59"/>
    <mergeCell ref="AJ60:AJ61"/>
    <mergeCell ref="AJ62:AJ63"/>
    <mergeCell ref="AJ68:AJ69"/>
    <mergeCell ref="AJ78:AJ79"/>
    <mergeCell ref="AI60:AI61"/>
    <mergeCell ref="W58:W59"/>
    <mergeCell ref="AB60:AC61"/>
    <mergeCell ref="U85:V85"/>
    <mergeCell ref="Z83:AB83"/>
    <mergeCell ref="S83:T83"/>
    <mergeCell ref="T60:T61"/>
    <mergeCell ref="W62:W63"/>
    <mergeCell ref="V64:V65"/>
    <mergeCell ref="BG22:BG23"/>
    <mergeCell ref="BG24:BG25"/>
    <mergeCell ref="BG26:BG27"/>
    <mergeCell ref="BG28:BG29"/>
    <mergeCell ref="BG30:BG31"/>
    <mergeCell ref="BG32:BG33"/>
    <mergeCell ref="AX24:AX25"/>
    <mergeCell ref="BG44:BG45"/>
    <mergeCell ref="AL40:AL41"/>
    <mergeCell ref="AL42:AL43"/>
    <mergeCell ref="AL44:AL45"/>
    <mergeCell ref="AU38:AU39"/>
    <mergeCell ref="AW42:AW43"/>
    <mergeCell ref="AN44:AN45"/>
    <mergeCell ref="AM40:AM41"/>
    <mergeCell ref="AQ44:AQ45"/>
    <mergeCell ref="Z49:AB49"/>
    <mergeCell ref="X44:X45"/>
    <mergeCell ref="Z40:Z41"/>
    <mergeCell ref="S48:Y48"/>
    <mergeCell ref="Z48:AI48"/>
    <mergeCell ref="S49:T49"/>
    <mergeCell ref="S84:X84"/>
    <mergeCell ref="W85:X85"/>
    <mergeCell ref="AA85:AD85"/>
    <mergeCell ref="X78:X79"/>
    <mergeCell ref="W78:W79"/>
    <mergeCell ref="T78:T79"/>
    <mergeCell ref="AB78:AC79"/>
    <mergeCell ref="S80:T81"/>
    <mergeCell ref="AD78:AE79"/>
    <mergeCell ref="AE85:AI85"/>
    <mergeCell ref="M122:N122"/>
    <mergeCell ref="A123:B123"/>
    <mergeCell ref="A110:N110"/>
    <mergeCell ref="A121:N121"/>
    <mergeCell ref="A122:B122"/>
    <mergeCell ref="C122:D122"/>
    <mergeCell ref="E122:F122"/>
    <mergeCell ref="G122:H122"/>
    <mergeCell ref="I122:J122"/>
    <mergeCell ref="K122:L122"/>
    <mergeCell ref="U80:AK81"/>
    <mergeCell ref="T53:U53"/>
    <mergeCell ref="AF56:AF57"/>
    <mergeCell ref="V53:AK53"/>
    <mergeCell ref="AG56:AH57"/>
    <mergeCell ref="AJ74:AJ75"/>
    <mergeCell ref="AJ76:AJ77"/>
    <mergeCell ref="BH22:BH23"/>
    <mergeCell ref="BH24:BH25"/>
    <mergeCell ref="AG44:AH45"/>
    <mergeCell ref="AI42:AI43"/>
    <mergeCell ref="AX22:AX23"/>
    <mergeCell ref="AY22:AY23"/>
    <mergeCell ref="AY24:AY25"/>
    <mergeCell ref="AY26:AY27"/>
    <mergeCell ref="AY28:AY29"/>
    <mergeCell ref="AY30:AY31"/>
    <mergeCell ref="AV44:AV45"/>
    <mergeCell ref="AY34:AY35"/>
    <mergeCell ref="AX36:AX37"/>
    <mergeCell ref="AX34:AX35"/>
    <mergeCell ref="AX28:AX29"/>
    <mergeCell ref="AX30:AX31"/>
    <mergeCell ref="A129:B129"/>
    <mergeCell ref="A128:B128"/>
    <mergeCell ref="A127:B127"/>
    <mergeCell ref="A126:B126"/>
    <mergeCell ref="A125:B125"/>
    <mergeCell ref="A124:B124"/>
    <mergeCell ref="AF22:AF23"/>
    <mergeCell ref="AF28:AF29"/>
    <mergeCell ref="AD28:AD29"/>
    <mergeCell ref="AE24:AE25"/>
    <mergeCell ref="AF24:AF25"/>
    <mergeCell ref="AD24:AD25"/>
    <mergeCell ref="AE28:AE29"/>
    <mergeCell ref="AD26:AD27"/>
    <mergeCell ref="U44:U45"/>
    <mergeCell ref="V44:V45"/>
    <mergeCell ref="R78:R79"/>
    <mergeCell ref="AI66:AI67"/>
    <mergeCell ref="Y66:Y67"/>
    <mergeCell ref="AA74:AA75"/>
    <mergeCell ref="U68:U69"/>
    <mergeCell ref="U72:U73"/>
    <mergeCell ref="Z76:Z77"/>
    <mergeCell ref="AA64:AA65"/>
    <mergeCell ref="AA68:AA69"/>
    <mergeCell ref="Y78:Y79"/>
    <mergeCell ref="AF74:AF75"/>
    <mergeCell ref="AF76:AF77"/>
    <mergeCell ref="AD70:AE71"/>
    <mergeCell ref="AF72:AF73"/>
    <mergeCell ref="AD74:AE75"/>
    <mergeCell ref="BH26:BH27"/>
    <mergeCell ref="BH28:BH29"/>
    <mergeCell ref="BH30:BH31"/>
    <mergeCell ref="BH32:BH33"/>
    <mergeCell ref="AG40:AH41"/>
    <mergeCell ref="BG36:BG37"/>
    <mergeCell ref="BG38:BG39"/>
    <mergeCell ref="BG40:BG41"/>
    <mergeCell ref="BG42:BG43"/>
    <mergeCell ref="BH34:BH35"/>
    <mergeCell ref="BH36:BH37"/>
    <mergeCell ref="BH38:BH39"/>
    <mergeCell ref="BH40:BH41"/>
    <mergeCell ref="BH42:BH43"/>
    <mergeCell ref="BG34:BG35"/>
    <mergeCell ref="BH44:BH45"/>
    <mergeCell ref="W44:W45"/>
    <mergeCell ref="AF66:AF67"/>
    <mergeCell ref="AB64:AC65"/>
    <mergeCell ref="W68:W69"/>
    <mergeCell ref="Z70:Z71"/>
    <mergeCell ref="R60:R61"/>
    <mergeCell ref="AA56:AA57"/>
    <mergeCell ref="X60:X61"/>
    <mergeCell ref="S56:S57"/>
    <mergeCell ref="U56:U57"/>
    <mergeCell ref="W56:W57"/>
    <mergeCell ref="Z56:Z57"/>
    <mergeCell ref="Y56:Y57"/>
    <mergeCell ref="V56:V57"/>
    <mergeCell ref="X56:X57"/>
    <mergeCell ref="AA62:AA63"/>
    <mergeCell ref="X58:X59"/>
    <mergeCell ref="AH83:AI83"/>
    <mergeCell ref="AD68:AE69"/>
    <mergeCell ref="AB68:AC69"/>
    <mergeCell ref="U83:V83"/>
    <mergeCell ref="W83:Y83"/>
    <mergeCell ref="AC83:AD83"/>
    <mergeCell ref="Z74:Z75"/>
    <mergeCell ref="AI78:AI79"/>
    <mergeCell ref="Z78:Z79"/>
    <mergeCell ref="AA78:AA79"/>
    <mergeCell ref="AI64:AI65"/>
    <mergeCell ref="Z66:Z67"/>
    <mergeCell ref="Z68:Z69"/>
    <mergeCell ref="AD64:AE65"/>
    <mergeCell ref="AB74:AC75"/>
    <mergeCell ref="R64:R65"/>
    <mergeCell ref="W54:AD54"/>
    <mergeCell ref="AB56:AC57"/>
    <mergeCell ref="Z60:Z61"/>
    <mergeCell ref="AA60:AA61"/>
    <mergeCell ref="T56:T57"/>
    <mergeCell ref="R62:R63"/>
    <mergeCell ref="Y60:Y61"/>
    <mergeCell ref="Y58:Y59"/>
    <mergeCell ref="Z58:Z59"/>
    <mergeCell ref="Z62:Z63"/>
    <mergeCell ref="S62:S63"/>
    <mergeCell ref="T62:T63"/>
    <mergeCell ref="X62:X63"/>
    <mergeCell ref="Y64:Y65"/>
    <mergeCell ref="U62:U63"/>
    <mergeCell ref="Y70:Y71"/>
    <mergeCell ref="Y72:Y73"/>
    <mergeCell ref="AB70:AC71"/>
    <mergeCell ref="X70:X71"/>
    <mergeCell ref="W64:W65"/>
    <mergeCell ref="R66:R67"/>
    <mergeCell ref="AD60:AE61"/>
    <mergeCell ref="AD62:AE63"/>
    <mergeCell ref="V60:V61"/>
    <mergeCell ref="W60:W61"/>
    <mergeCell ref="AD72:AE73"/>
    <mergeCell ref="Z72:Z73"/>
    <mergeCell ref="X68:X69"/>
    <mergeCell ref="Z64:Z65"/>
    <mergeCell ref="S64:S65"/>
    <mergeCell ref="T64:T65"/>
    <mergeCell ref="U64:U65"/>
  </mergeCells>
  <phoneticPr fontId="14" type="noConversion"/>
  <conditionalFormatting sqref="S49:T49">
    <cfRule type="expression" dxfId="41" priority="23" stopIfTrue="1">
      <formula>$B$19&lt;&gt;""</formula>
    </cfRule>
  </conditionalFormatting>
  <conditionalFormatting sqref="S51:T51">
    <cfRule type="expression" dxfId="40" priority="19" stopIfTrue="1">
      <formula>$B$21&lt;&gt;""</formula>
    </cfRule>
  </conditionalFormatting>
  <conditionalFormatting sqref="S83:T83">
    <cfRule type="expression" dxfId="39" priority="7" stopIfTrue="1">
      <formula>$B$19&lt;&gt;""</formula>
    </cfRule>
  </conditionalFormatting>
  <conditionalFormatting sqref="S85:T85">
    <cfRule type="expression" dxfId="38" priority="3" stopIfTrue="1">
      <formula>$B$21&lt;&gt;""</formula>
    </cfRule>
  </conditionalFormatting>
  <conditionalFormatting sqref="S50:X50">
    <cfRule type="expression" dxfId="37" priority="20" stopIfTrue="1">
      <formula>$B$21&lt;&gt;""</formula>
    </cfRule>
  </conditionalFormatting>
  <conditionalFormatting sqref="S84:X84">
    <cfRule type="expression" dxfId="36" priority="4" stopIfTrue="1">
      <formula>$B$21&lt;&gt;""</formula>
    </cfRule>
  </conditionalFormatting>
  <conditionalFormatting sqref="S48:Y48">
    <cfRule type="expression" dxfId="35" priority="24" stopIfTrue="1">
      <formula>$B$19&lt;&gt;""</formula>
    </cfRule>
  </conditionalFormatting>
  <conditionalFormatting sqref="S82:Y82">
    <cfRule type="expression" dxfId="34" priority="8" stopIfTrue="1">
      <formula>$B$19&lt;&gt;""</formula>
    </cfRule>
  </conditionalFormatting>
  <conditionalFormatting sqref="U49:V49">
    <cfRule type="expression" dxfId="33" priority="21" stopIfTrue="1">
      <formula>$B$19&lt;&gt;""</formula>
    </cfRule>
  </conditionalFormatting>
  <conditionalFormatting sqref="U51:V51">
    <cfRule type="expression" dxfId="32" priority="18" stopIfTrue="1">
      <formula>$B$21&lt;&gt;""</formula>
    </cfRule>
  </conditionalFormatting>
  <conditionalFormatting sqref="U83:V83">
    <cfRule type="expression" dxfId="31" priority="5" stopIfTrue="1">
      <formula>$B$19&lt;&gt;""</formula>
    </cfRule>
  </conditionalFormatting>
  <conditionalFormatting sqref="U85:V85">
    <cfRule type="expression" dxfId="30" priority="2" stopIfTrue="1">
      <formula>$B$21&lt;&gt;""</formula>
    </cfRule>
  </conditionalFormatting>
  <conditionalFormatting sqref="W51:X51">
    <cfRule type="expression" dxfId="29" priority="17" stopIfTrue="1">
      <formula>$B$21&lt;&gt;""</formula>
    </cfRule>
  </conditionalFormatting>
  <conditionalFormatting sqref="W85:X85">
    <cfRule type="expression" dxfId="28" priority="1" stopIfTrue="1">
      <formula>$B$21&lt;&gt;""</formula>
    </cfRule>
  </conditionalFormatting>
  <conditionalFormatting sqref="W49:Y49">
    <cfRule type="expression" dxfId="27" priority="22" stopIfTrue="1">
      <formula>$B$19&lt;&gt;""</formula>
    </cfRule>
  </conditionalFormatting>
  <conditionalFormatting sqref="W83:Y83">
    <cfRule type="expression" dxfId="26" priority="6" stopIfTrue="1">
      <formula>$B$19&lt;&gt;""</formula>
    </cfRule>
  </conditionalFormatting>
  <conditionalFormatting sqref="Z51">
    <cfRule type="expression" dxfId="25" priority="29" stopIfTrue="1">
      <formula>$I$22&lt;&gt;""</formula>
    </cfRule>
    <cfRule type="expression" dxfId="24" priority="31" stopIfTrue="1">
      <formula>$H$22&lt;&gt;""</formula>
    </cfRule>
    <cfRule type="expression" dxfId="23" priority="32" stopIfTrue="1">
      <formula>$CA$18&lt;&gt;11</formula>
    </cfRule>
  </conditionalFormatting>
  <conditionalFormatting sqref="Z85">
    <cfRule type="expression" dxfId="22" priority="13" stopIfTrue="1">
      <formula>$I$22&lt;&gt;""</formula>
    </cfRule>
    <cfRule type="expression" dxfId="21" priority="16" stopIfTrue="1">
      <formula>$CA$18&lt;&gt;11</formula>
    </cfRule>
    <cfRule type="expression" dxfId="20" priority="15" stopIfTrue="1">
      <formula>$H$22&lt;&gt;""</formula>
    </cfRule>
  </conditionalFormatting>
  <conditionalFormatting sqref="Z24:AA45">
    <cfRule type="cellIs" dxfId="19" priority="33" stopIfTrue="1" operator="equal">
      <formula>"NO"</formula>
    </cfRule>
    <cfRule type="containsText" dxfId="18" priority="34" operator="containsText" text="FALSO">
      <formula>NOT(ISERROR(SEARCH("FALSO",Z24)))</formula>
    </cfRule>
    <cfRule type="cellIs" dxfId="17" priority="35" operator="lessThan">
      <formula>0</formula>
    </cfRule>
  </conditionalFormatting>
  <conditionalFormatting sqref="Z49:AB49">
    <cfRule type="expression" dxfId="16" priority="27" stopIfTrue="1">
      <formula>$I$19&lt;&gt;""</formula>
    </cfRule>
  </conditionalFormatting>
  <conditionalFormatting sqref="Z83:AB83">
    <cfRule type="expression" dxfId="15" priority="11" stopIfTrue="1">
      <formula>$I$19&lt;&gt;""</formula>
    </cfRule>
  </conditionalFormatting>
  <conditionalFormatting sqref="Z48:AI48">
    <cfRule type="expression" dxfId="14" priority="28" stopIfTrue="1">
      <formula>$I$19&lt;&gt;""</formula>
    </cfRule>
  </conditionalFormatting>
  <conditionalFormatting sqref="Z82:AI82">
    <cfRule type="expression" dxfId="13" priority="12" stopIfTrue="1">
      <formula>$I$19&lt;&gt;""</formula>
    </cfRule>
  </conditionalFormatting>
  <conditionalFormatting sqref="AA51">
    <cfRule type="expression" dxfId="12" priority="30" stopIfTrue="1">
      <formula>$H$22&lt;&gt;""</formula>
    </cfRule>
  </conditionalFormatting>
  <conditionalFormatting sqref="AA85">
    <cfRule type="expression" dxfId="11" priority="14" stopIfTrue="1">
      <formula>$H$22&lt;&gt;""</formula>
    </cfRule>
  </conditionalFormatting>
  <conditionalFormatting sqref="AB58 AD58 AB60 AD60 AB62 AD62 AB64 AD64 AB66 AD66 AB68 AD68 AB70 AD70 AB72 AD72 AB74 AD74 AB76 AD76 AB78 AD78">
    <cfRule type="cellIs" dxfId="10" priority="81" operator="lessThan">
      <formula>0</formula>
    </cfRule>
  </conditionalFormatting>
  <conditionalFormatting sqref="AC49:AG49">
    <cfRule type="expression" dxfId="9" priority="26" stopIfTrue="1">
      <formula>$I$19&lt;&gt;""</formula>
    </cfRule>
  </conditionalFormatting>
  <conditionalFormatting sqref="AC83:AG83">
    <cfRule type="expression" dxfId="8" priority="10" stopIfTrue="1">
      <formula>$I$19&lt;&gt;""</formula>
    </cfRule>
  </conditionalFormatting>
  <conditionalFormatting sqref="AF58 AF60 AF62 AF64 AF66 AF68 AF70 AF72 AF74 AF76 AF78">
    <cfRule type="cellIs" dxfId="7" priority="61" operator="lessThan">
      <formula>0</formula>
    </cfRule>
  </conditionalFormatting>
  <conditionalFormatting sqref="AH49:AI49">
    <cfRule type="expression" dxfId="6" priority="25" stopIfTrue="1">
      <formula>$I$19&lt;&gt;""</formula>
    </cfRule>
  </conditionalFormatting>
  <conditionalFormatting sqref="AH83:AI83">
    <cfRule type="expression" dxfId="5" priority="9" stopIfTrue="1">
      <formula>$I$19&lt;&gt;""</formula>
    </cfRule>
  </conditionalFormatting>
  <conditionalFormatting sqref="AI58:AL58 AI60:AL60 AI62:AL62 AI64:AL64 AI66:AL66 AI68:AL68 AI70:AL70 AI72:AL72 AI74:AL74 AI76:AL76 AI78:AL78">
    <cfRule type="cellIs" dxfId="4" priority="53" operator="lessThan">
      <formula>0</formula>
    </cfRule>
  </conditionalFormatting>
  <conditionalFormatting sqref="AJ24 AJ26 AJ28 AJ30 AJ32 AJ34 AJ36 AJ38 AJ40 AJ42 AJ44">
    <cfRule type="cellIs" dxfId="3" priority="46" stopIfTrue="1" operator="equal">
      <formula>"NO"</formula>
    </cfRule>
  </conditionalFormatting>
  <conditionalFormatting sqref="AJ58:AJ79">
    <cfRule type="cellIs" dxfId="2" priority="43" stopIfTrue="1" operator="equal">
      <formula>"X"</formula>
    </cfRule>
  </conditionalFormatting>
  <conditionalFormatting sqref="AJ58:AK79">
    <cfRule type="cellIs" dxfId="1" priority="48" stopIfTrue="1" operator="equal">
      <formula>70</formula>
    </cfRule>
    <cfRule type="cellIs" dxfId="0" priority="49" stopIfTrue="1" operator="equal">
      <formula>80</formula>
    </cfRule>
  </conditionalFormatting>
  <printOptions horizontalCentered="1" verticalCentered="1"/>
  <pageMargins left="0" right="0" top="0" bottom="0" header="0" footer="0"/>
  <pageSetup paperSize="9" scale="74" orientation="portrait" r:id="rId1"/>
  <colBreaks count="1" manualBreakCount="1">
    <brk id="14" max="90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30</vt:i4>
      </vt:variant>
    </vt:vector>
  </HeadingPairs>
  <TitlesOfParts>
    <vt:vector size="31" baseType="lpstr">
      <vt:lpstr>MODULO</vt:lpstr>
      <vt:lpstr>_A1</vt:lpstr>
      <vt:lpstr>_A2</vt:lpstr>
      <vt:lpstr>_A3</vt:lpstr>
      <vt:lpstr>_A4</vt:lpstr>
      <vt:lpstr>_A5</vt:lpstr>
      <vt:lpstr>_A6</vt:lpstr>
      <vt:lpstr>A</vt:lpstr>
      <vt:lpstr>ANTRACITE</vt:lpstr>
      <vt:lpstr>CARTELLINO!Area_stampa</vt:lpstr>
      <vt:lpstr>MODULO!Area_stampa</vt:lpstr>
      <vt:lpstr>ARGENTO</vt:lpstr>
      <vt:lpstr>B</vt:lpstr>
      <vt:lpstr>BIANCO</vt:lpstr>
      <vt:lpstr>D</vt:lpstr>
      <vt:lpstr>DD</vt:lpstr>
      <vt:lpstr>E</vt:lpstr>
      <vt:lpstr>F</vt:lpstr>
      <vt:lpstr>G</vt:lpstr>
      <vt:lpstr>H</vt:lpstr>
      <vt:lpstr>I</vt:lpstr>
      <vt:lpstr>L</vt:lpstr>
      <vt:lpstr>M</vt:lpstr>
      <vt:lpstr>N</vt:lpstr>
      <vt:lpstr>O</vt:lpstr>
      <vt:lpstr>P</vt:lpstr>
      <vt:lpstr>Q</vt:lpstr>
      <vt:lpstr>S</vt:lpstr>
      <vt:lpstr>T</vt:lpstr>
      <vt:lpstr>U</vt:lpstr>
      <vt:lpstr>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Rho</dc:creator>
  <cp:lastModifiedBy>Enrico Rho</cp:lastModifiedBy>
  <cp:lastPrinted>2024-04-08T12:55:15Z</cp:lastPrinted>
  <dcterms:created xsi:type="dcterms:W3CDTF">2018-03-30T07:33:11Z</dcterms:created>
  <dcterms:modified xsi:type="dcterms:W3CDTF">2024-04-08T15:55:14Z</dcterms:modified>
</cp:coreProperties>
</file>