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T:\MODULI EXCEL per CLIENTI\"/>
    </mc:Choice>
  </mc:AlternateContent>
  <xr:revisionPtr revIDLastSave="0" documentId="13_ncr:1_{7CA08C19-F470-4D9C-9DBA-20E86393FECF}" xr6:coauthVersionLast="47" xr6:coauthVersionMax="47" xr10:uidLastSave="{00000000-0000-0000-0000-000000000000}"/>
  <workbookProtection workbookAlgorithmName="SHA-512" workbookHashValue="iZrUegLi4kP+GCHlDVpj95usVW7B92mXFJOH1rIOQhUgP96Echr/KEneAeZ+U/syArQVicjrQ97qf1oOBR2A7Q==" workbookSaltValue="yw4rBrwIobOZm1reN5ozpQ==" workbookSpinCount="100000" lockStructure="1"/>
  <bookViews>
    <workbookView xWindow="28692" yWindow="-3600" windowWidth="29016" windowHeight="16416" tabRatio="710" xr2:uid="{00000000-000D-0000-FFFF-FFFF00000000}"/>
  </bookViews>
  <sheets>
    <sheet name="MODULO" sheetId="1" r:id="rId1"/>
    <sheet name="dati immagini" sheetId="7" state="veryHidden" r:id="rId2"/>
    <sheet name="CARTELLINO" sheetId="6" state="veryHidden" r:id="rId3"/>
    <sheet name="DATI" sheetId="5" state="veryHidden" r:id="rId4"/>
  </sheets>
  <definedNames>
    <definedName name="_FORIsuVERTICALE">IF(AND('dati immagini'!$E$8=1,MODULO!$I$49&gt;0),INDEX('dati immagini'!$A$5:$F$5,MATCH(MODULO!$I$49,'dati immagini'!$A$6:$F$6,0)),IF(AND('dati immagini'!$E$8=0,MODULO!$I$49&gt;0),INDEX('dati immagini'!$A$1:$F$1,MATCH(MODULO!$I$49,'dati immagini'!$A$2:$F$2,0)),IF(AND('dati immagini'!$E$8=1,MODULO!$R$49&gt;0),INDEX('dati immagini'!$A$5:$F$5,MATCH(MODULO!$R$49,'dati immagini'!$A$6:$F$6,0)),IF(AND('dati immagini'!$E$8=0,MODULO!$R$49&gt;0),INDEX('dati immagini'!$A$1:$F$1,MATCH(MODULO!$R$49,'dati immagini'!$A$2:$F$2,0))))))</definedName>
    <definedName name="_FORIsuVERTICALE2aRIGA">IF(AND('dati immagini'!$E$9=1,MODULO!$I$53&gt;0),INDEX('dati immagini'!$A$5:$F$5,MATCH(MODULO!$I$53,'dati immagini'!$A$6:$F$6,0)),IF(AND('dati immagini'!$E$9=0,MODULO!$I$53&gt;0),INDEX('dati immagini'!$A$1:$F$1,MATCH(MODULO!$I$53,'dati immagini'!$A$2:$F$2,0)),IF(AND('dati immagini'!$E$9=1,MODULO!$R$53&gt;0),INDEX('dati immagini'!$A$5:$F$5,MATCH(MODULO!$R$53,'dati immagini'!$A$6:$F$6,0)),IF(AND('dati immagini'!$E$9=0,MODULO!$R$53&gt;0),INDEX('dati immagini'!$A$1:$F$1,MATCH(MODULO!$R$53,'dati immagini'!$A$2:$F$2,0))))))</definedName>
    <definedName name="_FORIsuVERTICALE3aRIGA">IF(AND('dati immagini'!$E$10=1,MODULO!$I$57&gt;0),INDEX('dati immagini'!$A$5:$F$5,MATCH(MODULO!$I$57,'dati immagini'!$A$6:$F$6,0)),IF(AND('dati immagini'!$E$10=0,MODULO!$I$57&gt;0),INDEX('dati immagini'!$A$1:$F$1,MATCH(MODULO!$I$57,'dati immagini'!$A$2:$F$2,0)),IF(AND('dati immagini'!$E$10=1,MODULO!$R$57&gt;0),INDEX('dati immagini'!$A$5:$F$5,MATCH(MODULO!$R$57,'dati immagini'!$A$6:$F$6,0)),IF(AND('dati immagini'!$E$10=0,MODULO!$R$57&gt;0),INDEX('dati immagini'!$A$1:$F$1,MATCH(MODULO!$R$57,'dati immagini'!$A$2:$F$2,0))))))</definedName>
    <definedName name="_FORIsuVERTICALE4aRIGA">IF(AND('dati immagini'!$E$11=1,MODULO!$I$61&gt;0),INDEX('dati immagini'!$A$5:$F$5,MATCH(MODULO!$I$61,'dati immagini'!$A$6:$F$6,0)),IF(AND('dati immagini'!$E$11=0,MODULO!$I$61&gt;0),INDEX('dati immagini'!$A$1:$F$1,MATCH(MODULO!$I$61,'dati immagini'!$A$2:$F$2,0)),IF(AND('dati immagini'!$E$11=1,MODULO!$R$61&gt;0),INDEX('dati immagini'!$A$5:$F$5,MATCH(MODULO!$R$61,'dati immagini'!$A$6:$F$6,0)),IF(AND('dati immagini'!$E$11=0,MODULO!$R$61&gt;0),INDEX('dati immagini'!$A$1:$F$1,MATCH(MODULO!$R$61,'dati immagini'!$A$2:$F$2,0))))))</definedName>
    <definedName name="_FORIsuVERTICALE5aRIGA">IF(AND('dati immagini'!$E$12=1,MODULO!$I$65&gt;0),INDEX('dati immagini'!$A$5:$F$5,MATCH(MODULO!$I$65,'dati immagini'!$A$6:$F$6,0)),IF(AND('dati immagini'!$E$12=0,MODULO!$I$65&gt;0),INDEX('dati immagini'!$A$1:$F$1,MATCH(MODULO!$I$65,'dati immagini'!$A$2:$F$2,0)),IF(AND('dati immagini'!$E$12=1,MODULO!$R$65&gt;0),INDEX('dati immagini'!$A$5:$F$5,MATCH(MODULO!$R$65,'dati immagini'!$A$6:$F$6,0)),IF(AND('dati immagini'!$E$12=0,MODULO!$R$65&gt;0),INDEX('dati immagini'!$A$1:$F$1,MATCH(MODULO!$R$65,'dati immagini'!$A$2:$F$2,0))))))</definedName>
    <definedName name="_FOTOMANIGLIA">INDEX('dati immagini'!$O$31:$AJ$31,MATCH('dati immagini'!$Y$24,'dati immagini'!$O$32:$AJ$32,0))</definedName>
    <definedName name="_PROFILO_SCELTO">INDEX('dati immagini'!$A$31:$L$31,MATCH(MODULO!$M$26,'dati immagini'!$A$32:$L$32,0))</definedName>
    <definedName name="_RIQUADROPROFILIEFORATURE">IF('dati immagini'!$A$42&lt;&gt;"",INDEX('dati immagini'!$A$40:$AK$40,MATCH('dati immagini'!$A$42,'dati immagini'!$A$41:$AK$41,0)))</definedName>
    <definedName name="_xlnm.Print_Area" localSheetId="2">CARTELLINO!$C$2:$AI$63</definedName>
    <definedName name="_xlnm.Print_Area" localSheetId="3">DATI!$T$56:$AE$62</definedName>
    <definedName name="_xlnm.Print_Area" localSheetId="1">'dati immagini'!$L$2</definedName>
    <definedName name="_xlnm.Print_Area" localSheetId="0">MODULO!$A$2:$CC$72</definedName>
    <definedName name="art._1933">DATI!$AD$7:$AD$8</definedName>
    <definedName name="art._1933ALLUMINIO_ANODIZZATO">DATI!$AH$42:$AH$46</definedName>
    <definedName name="art._1933METAL_GREY">DATI!$AI$42:$AI$46</definedName>
    <definedName name="art._1934">DATI!$AE$7:$AE$8</definedName>
    <definedName name="art._1934ALLUMINIO_ANODIZZATO">DATI!$AJ$42:$AJ$46</definedName>
    <definedName name="art._2020">DATI!$AI$7:$AI$8</definedName>
    <definedName name="art._2020RAL_7016_GRIGIO_CHIARO">DATI!$AT$42</definedName>
    <definedName name="art._2020RAL_7016_GRIGIO_SCURO">DATI!$AS$42</definedName>
    <definedName name="art._3301">DATI!$AH$7:$AH$10</definedName>
    <definedName name="art._3301ACCIAIO_ANODIZZATO">DATI!$AP$42:$AP$43</definedName>
    <definedName name="art._3301ALLUMINIO_ANODIZZATO">DATI!$AO$42:$AO$46</definedName>
    <definedName name="art._3301METAL_GREY">DATI!$AQ$42:$AQ$45</definedName>
    <definedName name="art._3301NERO_OPACO_RAL_9005">DATI!$AR$42:$AR$45</definedName>
    <definedName name="art._4004">DATI!$AF$7</definedName>
    <definedName name="art._4004ALLUMINIO_ANODIZZATO">DATI!$AJ$42:$AJ$46</definedName>
    <definedName name="art._AN008">DATI!$AG$7:$AG$10</definedName>
    <definedName name="art._AN008ACCIAIO_ANODIZZATO">DATI!$AL$42:$AL$43</definedName>
    <definedName name="art._AN008ALLUMINIO_ANODIZZATO">DATI!$AK$42:$AK$46</definedName>
    <definedName name="art._AN008METAL_GREY">DATI!$AM$42:$AM$45</definedName>
    <definedName name="art._AN008NERO_OPACO_RAL_9005">DATI!$AN$42:$AN$45</definedName>
    <definedName name="art._AX24">DATI!$AJ$7:$AJ$8</definedName>
    <definedName name="art._AX24_per_maniglia">DATI!$AU$42</definedName>
    <definedName name="art._PB03">DATI!$AL$7:$AL$8</definedName>
    <definedName name="art._PR20">DATI!$AB$7:$AB$8</definedName>
    <definedName name="art._PR20ALLUMINIO_ANODIZZATO">DATI!$AC$42:$AC$43</definedName>
    <definedName name="art._PR20METAL_GREY">DATI!$AD$42:$AD$43</definedName>
    <definedName name="art._PR30">DATI!$AC$7:$AC$8</definedName>
    <definedName name="art._PR30ALLUMINIO_GREZZO">DATI!$AE$42:$AE$43</definedName>
    <definedName name="art._PR30METAL_GREY">DATI!$AF$42:$AF$43</definedName>
    <definedName name="art._PR30MOONLIGHT">DATI!$AG$42:$AG$43</definedName>
    <definedName name="CON_SUPPORTI_PER_CERNIERE?">CARTELLINO!$CB$49:$CB$50</definedName>
    <definedName name="DARE_CERNIERE">DATI!$AA$20:$AA$21</definedName>
    <definedName name="DS_20">DATI!$AC$37:$AC$38</definedName>
    <definedName name="DS_30">DATI!$AD$37:$AD$38</definedName>
    <definedName name="FINITURA_CERNIERE">DATI!$AA$37:$AA$40</definedName>
    <definedName name="HETTICH_Sensys">DATI!$AB$37:$AB$38</definedName>
    <definedName name="HETTICH_Sensys_PROFILO_STRETTO">DATI!$AE$37:$AE$38</definedName>
    <definedName name="MANIGLIEIMMAGINE">INDEX('dati immagini'!$O$31:$AB$31,MATCH('dati immagini'!$Y$24,'dati immagini'!$O$32:$AB$32,0))</definedName>
    <definedName name="NO">DATI!$AB$19:$AB$24</definedName>
    <definedName name="PR20_">DATI!$AB$7:$AB$8</definedName>
    <definedName name="PR30_">DATI!$AC$7:$AC$9</definedName>
    <definedName name="PROFILI">DATI!$AA$7:$AA$15</definedName>
    <definedName name="SI">DATI!$AC$20:$AC$21</definedName>
    <definedName name="Z_81353914_8CB9_4C10_A35B_25C1EEB4C7CD_.wvu.PrintArea" localSheetId="0" hidden="1">CARTELLINO!$C$2:$AJ$33</definedName>
  </definedNames>
  <calcPr calcId="191029"/>
  <customWorkbookViews>
    <customWorkbookView name="Magazzino1 - Visualizzazione personale" guid="{81353914-8CB9-4C10-A35B-25C1EEB4C7CD}" mergeInterval="0" personalView="1" maximized="1" xWindow="1" yWindow="1" windowWidth="1276" windowHeight="76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48" i="6" l="1"/>
  <c r="AC47" i="6"/>
  <c r="AC46" i="6"/>
  <c r="AC45" i="6"/>
  <c r="S48" i="6"/>
  <c r="S47" i="6"/>
  <c r="S46" i="6"/>
  <c r="S45" i="6"/>
  <c r="N48" i="6"/>
  <c r="N47" i="6"/>
  <c r="N46" i="6"/>
  <c r="N45" i="6"/>
  <c r="G26" i="7"/>
  <c r="J18" i="5"/>
  <c r="AB3" i="6"/>
  <c r="BB51" i="6" l="1"/>
  <c r="BA51" i="6"/>
  <c r="AZ51" i="6"/>
  <c r="AY51" i="6"/>
  <c r="AX51" i="6"/>
  <c r="AW51" i="6"/>
  <c r="AV51" i="6"/>
  <c r="AU51" i="6"/>
  <c r="AT51" i="6"/>
  <c r="AS51" i="6"/>
  <c r="AR51" i="6"/>
  <c r="AQ51" i="6"/>
  <c r="AP51" i="6"/>
  <c r="BB55" i="6"/>
  <c r="BA55" i="6"/>
  <c r="AZ55" i="6"/>
  <c r="AY55" i="6"/>
  <c r="AX55" i="6"/>
  <c r="AW55" i="6"/>
  <c r="AV55" i="6"/>
  <c r="AU55" i="6"/>
  <c r="AT55" i="6"/>
  <c r="AS55" i="6"/>
  <c r="AR55" i="6"/>
  <c r="AQ55" i="6"/>
  <c r="AP55" i="6"/>
  <c r="BB59" i="6"/>
  <c r="BA59" i="6"/>
  <c r="AZ59" i="6"/>
  <c r="AY59" i="6"/>
  <c r="AX59" i="6"/>
  <c r="AW59" i="6"/>
  <c r="AV59" i="6"/>
  <c r="AU59" i="6"/>
  <c r="AT59" i="6"/>
  <c r="AS59" i="6"/>
  <c r="AR59" i="6"/>
  <c r="AQ59" i="6"/>
  <c r="AP59" i="6"/>
  <c r="BB65" i="6"/>
  <c r="BA65" i="6"/>
  <c r="AZ65" i="6"/>
  <c r="AY65" i="6"/>
  <c r="AX65" i="6"/>
  <c r="AW65" i="6"/>
  <c r="AV65" i="6"/>
  <c r="AU65" i="6"/>
  <c r="AT65" i="6"/>
  <c r="AS65" i="6"/>
  <c r="AR65" i="6"/>
  <c r="AQ65" i="6"/>
  <c r="AP65" i="6"/>
  <c r="BB47" i="6"/>
  <c r="BA47" i="6"/>
  <c r="AZ47" i="6"/>
  <c r="AY47" i="6"/>
  <c r="AX47" i="6"/>
  <c r="AW47" i="6"/>
  <c r="AV47" i="6"/>
  <c r="AU47" i="6"/>
  <c r="AT47" i="6"/>
  <c r="AS47" i="6"/>
  <c r="AR47" i="6"/>
  <c r="AQ47" i="6"/>
  <c r="BS25" i="6"/>
  <c r="AF29" i="6"/>
  <c r="AF24" i="6"/>
  <c r="AF19" i="6"/>
  <c r="AF14" i="6"/>
  <c r="I26" i="7" l="1"/>
  <c r="E25" i="7"/>
  <c r="C26" i="7"/>
  <c r="J13" i="5"/>
  <c r="AO65" i="6"/>
  <c r="AN65" i="6"/>
  <c r="AO59" i="6"/>
  <c r="AN59" i="6"/>
  <c r="A37" i="1"/>
  <c r="I25" i="7"/>
  <c r="I24" i="7"/>
  <c r="G25" i="7"/>
  <c r="G24" i="7"/>
  <c r="E26" i="7"/>
  <c r="E24" i="7"/>
  <c r="C25" i="7"/>
  <c r="C24" i="7"/>
  <c r="A26" i="7"/>
  <c r="A25" i="7"/>
  <c r="A24" i="7"/>
  <c r="A19" i="7"/>
  <c r="BD47" i="6" l="1"/>
  <c r="BE47" i="6"/>
  <c r="BF47" i="6"/>
  <c r="BG47" i="6"/>
  <c r="BH47" i="6"/>
  <c r="BI47" i="6"/>
  <c r="BJ47" i="6"/>
  <c r="BK47" i="6"/>
  <c r="BL47" i="6"/>
  <c r="BC47" i="6"/>
  <c r="P37" i="1" l="1"/>
  <c r="Y5" i="6" s="1"/>
  <c r="BE39" i="6"/>
  <c r="BB43" i="6"/>
  <c r="BS27" i="6"/>
  <c r="BS26" i="6"/>
  <c r="BU66" i="6"/>
  <c r="BU68" i="6"/>
  <c r="BU70" i="6"/>
  <c r="BU64" i="6"/>
  <c r="BY51" i="6"/>
  <c r="BY50" i="6"/>
  <c r="BY49" i="6"/>
  <c r="BR26" i="6" l="1"/>
  <c r="M7" i="1"/>
  <c r="AF9" i="6"/>
  <c r="BL63" i="6"/>
  <c r="BH43" i="6" l="1"/>
  <c r="BI43" i="6"/>
  <c r="BJ43" i="6"/>
  <c r="BK43" i="6"/>
  <c r="BL43" i="6"/>
  <c r="BL65" i="6"/>
  <c r="BL59" i="6"/>
  <c r="BL55" i="6"/>
  <c r="BL51" i="6"/>
  <c r="BL39" i="6"/>
  <c r="BK65" i="6"/>
  <c r="BK63" i="6"/>
  <c r="BK59" i="6"/>
  <c r="BK55" i="6"/>
  <c r="BK51" i="6"/>
  <c r="BK39" i="6"/>
  <c r="BJ65" i="6"/>
  <c r="BJ63" i="6"/>
  <c r="BJ59" i="6"/>
  <c r="BJ55" i="6"/>
  <c r="BJ51" i="6"/>
  <c r="BJ39" i="6"/>
  <c r="AN63" i="6" l="1"/>
  <c r="AO63" i="6"/>
  <c r="AP63" i="6"/>
  <c r="AQ63" i="6"/>
  <c r="BN47" i="6"/>
  <c r="BO47" i="6"/>
  <c r="BM47" i="6"/>
  <c r="BN43" i="6"/>
  <c r="BO43" i="6"/>
  <c r="BM43" i="6"/>
  <c r="BC43" i="6"/>
  <c r="BD43" i="6"/>
  <c r="BE43" i="6"/>
  <c r="BF43" i="6"/>
  <c r="BG43" i="6"/>
  <c r="AR43" i="6"/>
  <c r="AS43" i="6"/>
  <c r="AT43" i="6"/>
  <c r="AU43" i="6"/>
  <c r="AV43" i="6"/>
  <c r="AW43" i="6"/>
  <c r="AX43" i="6"/>
  <c r="AY43" i="6"/>
  <c r="AZ43" i="6"/>
  <c r="BA43" i="6"/>
  <c r="AQ43" i="6"/>
  <c r="BN39" i="6"/>
  <c r="BO39" i="6"/>
  <c r="BM39" i="6"/>
  <c r="BF39" i="6"/>
  <c r="BG39" i="6"/>
  <c r="BH39" i="6"/>
  <c r="BI39" i="6"/>
  <c r="AU39" i="6"/>
  <c r="AV39" i="6"/>
  <c r="AW39" i="6"/>
  <c r="AX39" i="6"/>
  <c r="AY39" i="6"/>
  <c r="AZ39" i="6"/>
  <c r="BA39" i="6"/>
  <c r="BB39" i="6"/>
  <c r="BC39" i="6"/>
  <c r="BD39" i="6"/>
  <c r="AT39" i="6"/>
  <c r="BN63" i="6"/>
  <c r="BO63" i="6"/>
  <c r="BM63" i="6"/>
  <c r="BD63" i="6"/>
  <c r="BE63" i="6"/>
  <c r="BF63" i="6"/>
  <c r="BG63" i="6"/>
  <c r="BH63" i="6"/>
  <c r="BI63" i="6"/>
  <c r="BC63" i="6"/>
  <c r="AS63" i="6"/>
  <c r="AT63" i="6"/>
  <c r="AU63" i="6"/>
  <c r="AV63" i="6"/>
  <c r="AW63" i="6"/>
  <c r="AX63" i="6"/>
  <c r="AY63" i="6"/>
  <c r="AZ63" i="6"/>
  <c r="BA63" i="6"/>
  <c r="BB63" i="6"/>
  <c r="AR63" i="6"/>
  <c r="BO65" i="6"/>
  <c r="BN65" i="6"/>
  <c r="BM65" i="6"/>
  <c r="BI65" i="6"/>
  <c r="BH65" i="6"/>
  <c r="BG65" i="6"/>
  <c r="BF65" i="6"/>
  <c r="BE65" i="6"/>
  <c r="BD65" i="6"/>
  <c r="BC65" i="6"/>
  <c r="BM55" i="6"/>
  <c r="BN55" i="6"/>
  <c r="BO55" i="6"/>
  <c r="BM59" i="6"/>
  <c r="BN59" i="6"/>
  <c r="BO59" i="6"/>
  <c r="BN51" i="6"/>
  <c r="BO51" i="6"/>
  <c r="BM51" i="6"/>
  <c r="BH55" i="6"/>
  <c r="BI55" i="6"/>
  <c r="BH59" i="6"/>
  <c r="BI59" i="6"/>
  <c r="BI51" i="6"/>
  <c r="BH51" i="6"/>
  <c r="BF55" i="6"/>
  <c r="BG55" i="6"/>
  <c r="BF59" i="6"/>
  <c r="BG59" i="6"/>
  <c r="BG51" i="6"/>
  <c r="BF51" i="6"/>
  <c r="BC55" i="6"/>
  <c r="BD55" i="6"/>
  <c r="BE55" i="6"/>
  <c r="BC59" i="6"/>
  <c r="BD59" i="6"/>
  <c r="BE59" i="6"/>
  <c r="BD51" i="6"/>
  <c r="BE51" i="6"/>
  <c r="BC51" i="6"/>
  <c r="N86" i="5" l="1"/>
  <c r="M25" i="5"/>
  <c r="M24" i="5"/>
  <c r="M23" i="5"/>
  <c r="J15" i="5"/>
  <c r="J14" i="5"/>
  <c r="A42" i="7" l="1"/>
  <c r="J12" i="5"/>
  <c r="B44" i="7"/>
  <c r="Q62" i="6"/>
  <c r="Q61" i="6"/>
  <c r="Q59" i="6"/>
  <c r="Q58" i="6"/>
  <c r="Q60" i="6"/>
  <c r="Q57" i="6" l="1"/>
  <c r="I15" i="5"/>
  <c r="I14" i="5"/>
  <c r="I12" i="5"/>
  <c r="I13" i="5"/>
  <c r="AC20" i="5"/>
  <c r="AB23" i="5"/>
  <c r="L23" i="5"/>
  <c r="M22" i="5"/>
  <c r="L22" i="5" s="1"/>
  <c r="M21" i="5"/>
  <c r="L21" i="5" s="1"/>
  <c r="M20" i="5"/>
  <c r="L20" i="5" s="1"/>
  <c r="M19" i="5"/>
  <c r="L19" i="5" s="1"/>
  <c r="M18" i="5"/>
  <c r="L18" i="5" s="1"/>
  <c r="M17" i="5"/>
  <c r="L17" i="5" s="1"/>
  <c r="M16" i="5"/>
  <c r="L16" i="5" s="1"/>
  <c r="M15" i="5"/>
  <c r="L15" i="5" s="1"/>
  <c r="M14" i="5"/>
  <c r="L14" i="5" s="1"/>
  <c r="S14" i="5" s="1"/>
  <c r="D12" i="7"/>
  <c r="D11" i="7"/>
  <c r="D10" i="7"/>
  <c r="D9" i="7"/>
  <c r="D8" i="7"/>
  <c r="J3" i="5"/>
  <c r="I3" i="5" s="1"/>
  <c r="H3" i="5" s="1"/>
  <c r="J16" i="5"/>
  <c r="I16" i="5" s="1"/>
  <c r="I18" i="5"/>
  <c r="J11" i="5"/>
  <c r="I11" i="5" s="1"/>
  <c r="J10" i="5"/>
  <c r="I10" i="5" s="1"/>
  <c r="Z6" i="5"/>
  <c r="M6" i="5"/>
  <c r="L6" i="5" s="1"/>
  <c r="J6" i="5"/>
  <c r="I6" i="5" s="1"/>
  <c r="J7" i="5"/>
  <c r="O12" i="5" l="1"/>
  <c r="E12" i="5"/>
  <c r="D12" i="5"/>
  <c r="C12" i="5"/>
  <c r="B12" i="5"/>
  <c r="F12" i="5"/>
  <c r="F14" i="5"/>
  <c r="E14" i="5"/>
  <c r="D14" i="5"/>
  <c r="C14" i="5"/>
  <c r="B14" i="5"/>
  <c r="D13" i="5"/>
  <c r="C13" i="5"/>
  <c r="B13" i="5"/>
  <c r="F13" i="5"/>
  <c r="E13" i="5"/>
  <c r="F15" i="5"/>
  <c r="C15" i="5"/>
  <c r="B15" i="5"/>
  <c r="E15" i="5"/>
  <c r="D15" i="5"/>
  <c r="C3" i="5"/>
  <c r="B3" i="5"/>
  <c r="D3" i="5"/>
  <c r="E3" i="5"/>
  <c r="F3" i="5"/>
  <c r="W14" i="5"/>
  <c r="V14" i="5"/>
  <c r="U14" i="5"/>
  <c r="S15" i="5"/>
  <c r="T15" i="5"/>
  <c r="U15" i="5"/>
  <c r="V15" i="5"/>
  <c r="W15" i="5"/>
  <c r="T14" i="5"/>
  <c r="E6" i="5"/>
  <c r="D6" i="5"/>
  <c r="F6" i="5"/>
  <c r="C6" i="5"/>
  <c r="B6" i="5"/>
  <c r="V6" i="5"/>
  <c r="U6" i="5"/>
  <c r="T6" i="5"/>
  <c r="W6" i="5"/>
  <c r="S6" i="5"/>
  <c r="J9" i="5"/>
  <c r="I9" i="5" s="1"/>
  <c r="J8" i="5"/>
  <c r="I8" i="5" s="1"/>
  <c r="J19" i="5"/>
  <c r="I19" i="5" s="1"/>
  <c r="J22" i="5"/>
  <c r="I22" i="5" s="1"/>
  <c r="J21" i="5"/>
  <c r="F8" i="5" l="1"/>
  <c r="C8" i="5"/>
  <c r="E8" i="5"/>
  <c r="B8" i="5"/>
  <c r="D8" i="5"/>
  <c r="F9" i="5"/>
  <c r="E9" i="5"/>
  <c r="B9" i="5"/>
  <c r="D9" i="5"/>
  <c r="C9" i="5"/>
  <c r="AA42" i="5"/>
  <c r="AB46" i="5" l="1"/>
  <c r="AB45" i="5"/>
  <c r="AB44" i="5"/>
  <c r="AB43" i="5"/>
  <c r="AB42" i="5"/>
  <c r="AB41" i="5"/>
  <c r="J20" i="5"/>
  <c r="Z65" i="1" l="1"/>
  <c r="Z61" i="1"/>
  <c r="Z57" i="1"/>
  <c r="Z53" i="1"/>
  <c r="Z49" i="1"/>
  <c r="AP1" i="1"/>
  <c r="C33" i="6" s="1"/>
  <c r="M3" i="6"/>
  <c r="J23" i="5"/>
  <c r="Z69" i="1" l="1"/>
  <c r="Z43" i="1" s="1"/>
  <c r="W24" i="7"/>
  <c r="U24" i="7"/>
  <c r="S24" i="7"/>
  <c r="Q24" i="7"/>
  <c r="O24" i="7"/>
  <c r="C49" i="6"/>
  <c r="Y24" i="7" l="1"/>
  <c r="O30" i="7" s="1"/>
  <c r="P32" i="6"/>
  <c r="P27" i="6"/>
  <c r="P22" i="6"/>
  <c r="P17" i="6"/>
  <c r="P12" i="6"/>
  <c r="M39" i="1" l="1"/>
  <c r="E20" i="7"/>
  <c r="C20" i="7"/>
  <c r="A20" i="7"/>
  <c r="BK37" i="1"/>
  <c r="BI37" i="1"/>
  <c r="AX37" i="1"/>
  <c r="AV37" i="1"/>
  <c r="BX2" i="1"/>
  <c r="BV2" i="1"/>
  <c r="BK2" i="1"/>
  <c r="BI2" i="1"/>
  <c r="AX2" i="1"/>
  <c r="AV2" i="1"/>
  <c r="BB6" i="1"/>
  <c r="CB6" i="1"/>
  <c r="BO6" i="1"/>
  <c r="AA63" i="6"/>
  <c r="AL28" i="6" l="1"/>
  <c r="AL23" i="6"/>
  <c r="AL18" i="6"/>
  <c r="AL13" i="6"/>
  <c r="AL8" i="6"/>
  <c r="BQ35" i="1" l="1"/>
  <c r="BD35" i="1"/>
  <c r="BD71" i="1"/>
  <c r="AP71" i="1"/>
  <c r="BA71" i="1"/>
  <c r="BN71" i="1"/>
  <c r="CA35" i="1"/>
  <c r="BN35" i="1"/>
  <c r="BK38" i="1"/>
  <c r="BI38" i="1"/>
  <c r="AX38" i="1"/>
  <c r="AV38" i="1"/>
  <c r="BX3" i="1"/>
  <c r="BV3" i="1"/>
  <c r="BK3" i="1"/>
  <c r="BI3" i="1"/>
  <c r="AX3" i="1"/>
  <c r="AV3" i="1"/>
  <c r="B41" i="1" l="1"/>
  <c r="M13" i="5"/>
  <c r="M12" i="5"/>
  <c r="M11" i="5"/>
  <c r="M10" i="5"/>
  <c r="M9" i="5"/>
  <c r="M8" i="5"/>
  <c r="M7" i="5"/>
  <c r="A35" i="1"/>
  <c r="B28" i="6"/>
  <c r="BA35" i="1"/>
  <c r="AP35" i="1"/>
  <c r="N26" i="5" l="1"/>
  <c r="AB24" i="5" l="1"/>
  <c r="Z48" i="6"/>
  <c r="Z47" i="6"/>
  <c r="Z46" i="6"/>
  <c r="Z45" i="6"/>
  <c r="Z44" i="6"/>
  <c r="AB55" i="6"/>
  <c r="AH55" i="6" s="1"/>
  <c r="AB54" i="6"/>
  <c r="AH54" i="6" s="1"/>
  <c r="AB53" i="6"/>
  <c r="AH53" i="6" s="1"/>
  <c r="AB52" i="6"/>
  <c r="AH52" i="6" s="1"/>
  <c r="AB51" i="6"/>
  <c r="AH51" i="6" s="1"/>
  <c r="Z55" i="6"/>
  <c r="AA55" i="6" s="1"/>
  <c r="Z54" i="6"/>
  <c r="AA54" i="6" s="1"/>
  <c r="Z53" i="6"/>
  <c r="AA53" i="6" s="1"/>
  <c r="Z52" i="6"/>
  <c r="AA52" i="6" s="1"/>
  <c r="Z51" i="6"/>
  <c r="AB62" i="6"/>
  <c r="AH62" i="6" s="1"/>
  <c r="AB61" i="6"/>
  <c r="AH61" i="6" s="1"/>
  <c r="AB60" i="6"/>
  <c r="AH60" i="6" s="1"/>
  <c r="AB59" i="6"/>
  <c r="AH59" i="6" s="1"/>
  <c r="AB58" i="6"/>
  <c r="AH58" i="6" s="1"/>
  <c r="S44" i="6" l="1"/>
  <c r="AC44" i="6"/>
  <c r="AA50" i="6"/>
  <c r="AH50" i="6"/>
  <c r="AH57" i="6"/>
  <c r="AB57" i="6"/>
  <c r="AB50" i="6"/>
  <c r="Z50" i="6"/>
  <c r="BT3" i="6"/>
  <c r="J26" i="5"/>
  <c r="J25" i="5"/>
  <c r="C4" i="6" l="1"/>
  <c r="Y2" i="6"/>
  <c r="H2" i="6"/>
  <c r="BS30" i="6"/>
  <c r="BS29" i="6"/>
  <c r="BS28" i="6"/>
  <c r="BT24" i="6"/>
  <c r="BT23" i="6"/>
  <c r="BT22" i="6"/>
  <c r="B6" i="6"/>
  <c r="B5" i="6"/>
  <c r="B3" i="6"/>
  <c r="E41" i="7"/>
  <c r="C42" i="7" s="1"/>
  <c r="AF28" i="6" l="1"/>
  <c r="H39" i="6"/>
  <c r="AC21" i="5"/>
  <c r="Y39" i="6"/>
  <c r="BO56" i="1" l="1"/>
  <c r="BB56" i="1"/>
  <c r="CB21" i="1"/>
  <c r="CB13" i="1" s="1"/>
  <c r="BO21" i="1"/>
  <c r="BO13" i="1" s="1"/>
  <c r="BB21" i="1"/>
  <c r="BJ37" i="1"/>
  <c r="AW37" i="1"/>
  <c r="BW2" i="1"/>
  <c r="BJ2" i="1"/>
  <c r="AW2" i="1"/>
  <c r="F11" i="7"/>
  <c r="F10" i="7"/>
  <c r="F9" i="7"/>
  <c r="F12" i="7"/>
  <c r="F8" i="7"/>
  <c r="BB48" i="1" l="1"/>
  <c r="BO48" i="1"/>
  <c r="BB13" i="1"/>
  <c r="F55" i="6"/>
  <c r="F54" i="6"/>
  <c r="F53" i="6"/>
  <c r="F52" i="6"/>
  <c r="F51" i="6"/>
  <c r="T37" i="5"/>
  <c r="S37" i="5"/>
  <c r="R37" i="5"/>
  <c r="Q37" i="5"/>
  <c r="P37" i="5"/>
  <c r="S36" i="5"/>
  <c r="R36" i="5"/>
  <c r="Q36" i="5"/>
  <c r="T34" i="5"/>
  <c r="S34" i="5"/>
  <c r="R34" i="5"/>
  <c r="Q34" i="5"/>
  <c r="P34" i="5" l="1"/>
  <c r="S32" i="5" l="1"/>
  <c r="R32" i="5"/>
  <c r="Q32" i="5"/>
  <c r="I33" i="6"/>
  <c r="T32" i="5"/>
  <c r="T25" i="5"/>
  <c r="T24" i="5"/>
  <c r="T22" i="5"/>
  <c r="T17" i="5"/>
  <c r="T16" i="5"/>
  <c r="L13" i="5"/>
  <c r="L12" i="5"/>
  <c r="L11" i="5"/>
  <c r="L10" i="5"/>
  <c r="L9" i="5"/>
  <c r="L8" i="5"/>
  <c r="L7" i="5"/>
  <c r="T7" i="5" s="1"/>
  <c r="I26" i="5"/>
  <c r="I25" i="5"/>
  <c r="I23" i="5"/>
  <c r="O22" i="5" s="1"/>
  <c r="I21" i="5"/>
  <c r="I20" i="5"/>
  <c r="I7" i="5"/>
  <c r="AC30" i="6"/>
  <c r="AC28" i="6"/>
  <c r="AC25" i="6"/>
  <c r="AC23" i="6"/>
  <c r="AC20" i="6"/>
  <c r="AC18" i="6"/>
  <c r="AC15" i="6"/>
  <c r="AC13" i="6"/>
  <c r="H6" i="5" l="1"/>
  <c r="I2" i="5"/>
  <c r="O19" i="5"/>
  <c r="A3" i="5"/>
  <c r="A14" i="5"/>
  <c r="A10" i="5"/>
  <c r="A11" i="5"/>
  <c r="A12" i="5"/>
  <c r="A18" i="5"/>
  <c r="O6" i="5"/>
  <c r="A6" i="5"/>
  <c r="A7" i="5"/>
  <c r="F7" i="5"/>
  <c r="C7" i="5"/>
  <c r="E7" i="5"/>
  <c r="B7" i="5"/>
  <c r="D7" i="5"/>
  <c r="A23" i="5"/>
  <c r="A9" i="5"/>
  <c r="A22" i="5"/>
  <c r="A8" i="5"/>
  <c r="A21" i="5"/>
  <c r="A20" i="5"/>
  <c r="A19" i="5"/>
  <c r="A16" i="5"/>
  <c r="F17" i="5"/>
  <c r="F10" i="5"/>
  <c r="C20" i="5"/>
  <c r="E22" i="5"/>
  <c r="F11" i="5"/>
  <c r="U18" i="5"/>
  <c r="T18" i="5"/>
  <c r="U8" i="5"/>
  <c r="T8" i="5"/>
  <c r="V10" i="5"/>
  <c r="T10" i="5"/>
  <c r="V20" i="5"/>
  <c r="T20" i="5"/>
  <c r="V21" i="5"/>
  <c r="T21" i="5"/>
  <c r="U9" i="5"/>
  <c r="T9" i="5"/>
  <c r="U19" i="5"/>
  <c r="T19" i="5"/>
  <c r="V11" i="5"/>
  <c r="T11" i="5"/>
  <c r="W12" i="5"/>
  <c r="T12" i="5"/>
  <c r="W13" i="5"/>
  <c r="T13" i="5"/>
  <c r="W23" i="5"/>
  <c r="T23" i="5"/>
  <c r="H40" i="6"/>
  <c r="C40" i="6"/>
  <c r="U10" i="5"/>
  <c r="U20" i="5"/>
  <c r="W24" i="5"/>
  <c r="S24" i="5"/>
  <c r="S16" i="5"/>
  <c r="W22" i="5"/>
  <c r="S22" i="5"/>
  <c r="U22" i="5"/>
  <c r="V22" i="5"/>
  <c r="S21" i="5"/>
  <c r="S11" i="5"/>
  <c r="U25" i="5"/>
  <c r="U17" i="5"/>
  <c r="U7" i="5"/>
  <c r="V19" i="5"/>
  <c r="V9" i="5"/>
  <c r="W21" i="5"/>
  <c r="W11" i="5"/>
  <c r="S20" i="5"/>
  <c r="S10" i="5"/>
  <c r="U24" i="5"/>
  <c r="U16" i="5"/>
  <c r="V18" i="5"/>
  <c r="V8" i="5"/>
  <c r="W20" i="5"/>
  <c r="W10" i="5"/>
  <c r="S19" i="5"/>
  <c r="S9" i="5"/>
  <c r="U23" i="5"/>
  <c r="U13" i="5"/>
  <c r="V25" i="5"/>
  <c r="V17" i="5"/>
  <c r="V7" i="5"/>
  <c r="W19" i="5"/>
  <c r="W9" i="5"/>
  <c r="S18" i="5"/>
  <c r="S8" i="5"/>
  <c r="U12" i="5"/>
  <c r="V24" i="5"/>
  <c r="V16" i="5"/>
  <c r="W18" i="5"/>
  <c r="W8" i="5"/>
  <c r="S25" i="5"/>
  <c r="S17" i="5"/>
  <c r="S7" i="5"/>
  <c r="U21" i="5"/>
  <c r="U11" i="5"/>
  <c r="V23" i="5"/>
  <c r="V13" i="5"/>
  <c r="W25" i="5"/>
  <c r="W17" i="5"/>
  <c r="W7" i="5"/>
  <c r="W16" i="5"/>
  <c r="S23" i="5"/>
  <c r="S13" i="5"/>
  <c r="V12" i="5"/>
  <c r="S12" i="5"/>
  <c r="F16" i="5"/>
  <c r="E16" i="5"/>
  <c r="D16" i="5"/>
  <c r="C16" i="5"/>
  <c r="B16" i="5"/>
  <c r="F19" i="5"/>
  <c r="E19" i="5"/>
  <c r="D19" i="5"/>
  <c r="C19" i="5"/>
  <c r="B19" i="5"/>
  <c r="F18" i="5"/>
  <c r="E18" i="5"/>
  <c r="D18" i="5"/>
  <c r="C18" i="5"/>
  <c r="B18" i="5"/>
  <c r="F21" i="5"/>
  <c r="E21" i="5"/>
  <c r="D21" i="5"/>
  <c r="C21" i="5"/>
  <c r="B21" i="5"/>
  <c r="F23" i="5"/>
  <c r="E23" i="5"/>
  <c r="D23" i="5"/>
  <c r="C23" i="5"/>
  <c r="B23" i="5"/>
  <c r="D22" i="5"/>
  <c r="K24" i="5"/>
  <c r="B10" i="5"/>
  <c r="E20" i="5"/>
  <c r="B11" i="5"/>
  <c r="F22" i="5"/>
  <c r="D20" i="5"/>
  <c r="D10" i="5"/>
  <c r="F20" i="5"/>
  <c r="B17" i="5"/>
  <c r="C17" i="5"/>
  <c r="D17" i="5"/>
  <c r="E17" i="5"/>
  <c r="B22" i="5"/>
  <c r="C22" i="5"/>
  <c r="C11" i="5"/>
  <c r="D11" i="5"/>
  <c r="E11" i="5"/>
  <c r="B20" i="5"/>
  <c r="C10" i="5"/>
  <c r="E10" i="5"/>
  <c r="BR30" i="6" l="1"/>
  <c r="BR29" i="6"/>
  <c r="BR27" i="6"/>
  <c r="AC10" i="6"/>
  <c r="AC8" i="6"/>
  <c r="BQ26" i="6" l="1"/>
  <c r="AA38" i="6"/>
  <c r="H38" i="6"/>
  <c r="B30" i="6"/>
  <c r="B29" i="6"/>
  <c r="B25" i="6"/>
  <c r="B24" i="6"/>
  <c r="B23" i="6"/>
  <c r="AF23" i="6" s="1"/>
  <c r="B20" i="6"/>
  <c r="B19" i="6"/>
  <c r="B18" i="6"/>
  <c r="AF18" i="6" s="1"/>
  <c r="B15" i="6"/>
  <c r="B14" i="6"/>
  <c r="B13" i="6"/>
  <c r="AF13" i="6" s="1"/>
  <c r="B10" i="6"/>
  <c r="B9" i="6"/>
  <c r="B8" i="6"/>
  <c r="AF8" i="6" s="1"/>
  <c r="G23" i="6" l="1"/>
  <c r="G30" i="6"/>
  <c r="G10" i="6"/>
  <c r="G20" i="6"/>
  <c r="G25" i="6"/>
  <c r="G15" i="6"/>
  <c r="G28" i="6"/>
  <c r="AJ31" i="6" s="1"/>
  <c r="AJ29" i="6" s="1"/>
  <c r="G8" i="6"/>
  <c r="G13" i="6"/>
  <c r="G18" i="6"/>
  <c r="AK21" i="6" l="1"/>
  <c r="AK19" i="6" s="1"/>
  <c r="N53" i="6" s="1"/>
  <c r="AL53" i="6" s="1"/>
  <c r="AJ21" i="6"/>
  <c r="AK16" i="6"/>
  <c r="AK14" i="6" s="1"/>
  <c r="N52" i="6" s="1"/>
  <c r="AL52" i="6" s="1"/>
  <c r="AJ16" i="6"/>
  <c r="AK11" i="6"/>
  <c r="AJ11" i="6"/>
  <c r="AJ9" i="6" s="1"/>
  <c r="AK26" i="6"/>
  <c r="AK24" i="6" s="1"/>
  <c r="N54" i="6" s="1"/>
  <c r="AL54" i="6" s="1"/>
  <c r="AJ26" i="6"/>
  <c r="AJ15" i="6"/>
  <c r="AJ20" i="6"/>
  <c r="AK31" i="6"/>
  <c r="AK29" i="6" s="1"/>
  <c r="N55" i="6" s="1"/>
  <c r="AL55" i="6" s="1"/>
  <c r="AJ30" i="6"/>
  <c r="AJ25" i="6"/>
  <c r="AJ10" i="6"/>
  <c r="Z10" i="5"/>
  <c r="Z9" i="5"/>
  <c r="Z8" i="5"/>
  <c r="Z7" i="5"/>
  <c r="D32" i="6"/>
  <c r="D27" i="6"/>
  <c r="D22" i="6"/>
  <c r="D17" i="6"/>
  <c r="D12" i="6"/>
  <c r="O39" i="5"/>
  <c r="G29" i="7"/>
  <c r="I20" i="7"/>
  <c r="I19" i="7"/>
  <c r="G20" i="7"/>
  <c r="G19" i="7"/>
  <c r="E19" i="7"/>
  <c r="C19" i="7"/>
  <c r="AJ27" i="6" l="1"/>
  <c r="AJ24" i="6"/>
  <c r="AF25" i="6" s="1"/>
  <c r="AJ14" i="6"/>
  <c r="AF15" i="6" s="1"/>
  <c r="AJ19" i="6"/>
  <c r="AF20" i="6" s="1"/>
  <c r="AJ22" i="6"/>
  <c r="AJ32" i="6"/>
  <c r="AF30" i="6"/>
  <c r="AF31" i="6" s="1"/>
  <c r="AJ17" i="6"/>
  <c r="AK9" i="6"/>
  <c r="N51" i="6" s="1"/>
  <c r="AL51" i="6" s="1"/>
  <c r="AJ12" i="6"/>
  <c r="A29" i="7"/>
  <c r="C29" i="7"/>
  <c r="I29" i="7"/>
  <c r="E29" i="7"/>
  <c r="BO41" i="1"/>
  <c r="BB41" i="1"/>
  <c r="AK22" i="6" l="1"/>
  <c r="AK20" i="6" s="1"/>
  <c r="K53" i="6" s="1"/>
  <c r="AK53" i="6" s="1"/>
  <c r="AF21" i="6"/>
  <c r="AF16" i="6"/>
  <c r="AK17" i="6"/>
  <c r="AK15" i="6" s="1"/>
  <c r="K52" i="6" s="1"/>
  <c r="AK52" i="6" s="1"/>
  <c r="AK27" i="6"/>
  <c r="AK25" i="6" s="1"/>
  <c r="K54" i="6" s="1"/>
  <c r="AF26" i="6"/>
  <c r="AK32" i="6"/>
  <c r="AK30" i="6" s="1"/>
  <c r="K55" i="6" s="1"/>
  <c r="AD37" i="6"/>
  <c r="H53" i="6" l="1"/>
  <c r="AJ53" i="6" s="1"/>
  <c r="S53" i="6" s="1"/>
  <c r="H52" i="6"/>
  <c r="AJ52" i="6" s="1"/>
  <c r="S52" i="6" s="1"/>
  <c r="AK55" i="6"/>
  <c r="H55" i="6"/>
  <c r="H54" i="6"/>
  <c r="AJ54" i="6" s="1"/>
  <c r="AK54" i="6"/>
  <c r="L26" i="6" l="1"/>
  <c r="L23" i="6" s="1"/>
  <c r="AJ55" i="6"/>
  <c r="S55" i="6" s="1"/>
  <c r="S54" i="6"/>
  <c r="C67" i="6"/>
  <c r="H37" i="6"/>
  <c r="L67" i="6"/>
  <c r="J67" i="6"/>
  <c r="H67" i="6"/>
  <c r="E67" i="6"/>
  <c r="Q28" i="6"/>
  <c r="D28" i="6" s="1"/>
  <c r="D30" i="6" s="1"/>
  <c r="Q18" i="6"/>
  <c r="D18" i="6" s="1"/>
  <c r="D20" i="6" s="1"/>
  <c r="E9" i="7"/>
  <c r="E10" i="7"/>
  <c r="E11" i="7"/>
  <c r="E12" i="7"/>
  <c r="Y23" i="6" l="1"/>
  <c r="L24" i="6"/>
  <c r="L25" i="6" s="1"/>
  <c r="AA23" i="6" s="1"/>
  <c r="K10" i="7"/>
  <c r="AE55" i="5"/>
  <c r="AE54" i="5"/>
  <c r="AE53" i="5"/>
  <c r="K12" i="7"/>
  <c r="AG55" i="5"/>
  <c r="AG53" i="5"/>
  <c r="AG54" i="5"/>
  <c r="K11" i="7"/>
  <c r="AF55" i="5"/>
  <c r="AF54" i="5"/>
  <c r="AF53" i="5"/>
  <c r="K9" i="7"/>
  <c r="AD54" i="5"/>
  <c r="AD55" i="5"/>
  <c r="AD53" i="5"/>
  <c r="AG52" i="5"/>
  <c r="AG51" i="5"/>
  <c r="AE52" i="5"/>
  <c r="AE51" i="5"/>
  <c r="AF52" i="5"/>
  <c r="AF51" i="5"/>
  <c r="AD51" i="5"/>
  <c r="AD52" i="5"/>
  <c r="A12" i="7"/>
  <c r="B18" i="7"/>
  <c r="A11" i="7"/>
  <c r="B17" i="7"/>
  <c r="A10" i="7"/>
  <c r="B16" i="7"/>
  <c r="A9" i="7"/>
  <c r="B15" i="7"/>
  <c r="F45" i="6"/>
  <c r="H46" i="6"/>
  <c r="R30" i="5" s="1"/>
  <c r="F47" i="6"/>
  <c r="F48" i="6"/>
  <c r="H45" i="6"/>
  <c r="H48" i="6"/>
  <c r="K45" i="6"/>
  <c r="K46" i="6"/>
  <c r="F46" i="6"/>
  <c r="K48" i="6"/>
  <c r="K47" i="6"/>
  <c r="H47" i="6"/>
  <c r="N67" i="6"/>
  <c r="C34" i="6"/>
  <c r="Z42" i="6" s="1"/>
  <c r="G11" i="7"/>
  <c r="G12" i="7"/>
  <c r="I27" i="5"/>
  <c r="G9" i="7"/>
  <c r="G10" i="7"/>
  <c r="Q23" i="6"/>
  <c r="D23" i="6" s="1"/>
  <c r="D25" i="6" s="1"/>
  <c r="Q13" i="6"/>
  <c r="D13" i="6" s="1"/>
  <c r="D15" i="6" s="1"/>
  <c r="L21" i="6" l="1"/>
  <c r="L18" i="6" s="1"/>
  <c r="A55" i="6"/>
  <c r="B55" i="6"/>
  <c r="A54" i="6"/>
  <c r="B54" i="6"/>
  <c r="A53" i="6"/>
  <c r="B53" i="6"/>
  <c r="A52" i="6"/>
  <c r="B52" i="6"/>
  <c r="D55" i="6"/>
  <c r="D54" i="6"/>
  <c r="D53" i="6"/>
  <c r="D52" i="6"/>
  <c r="B46" i="6"/>
  <c r="T30" i="5"/>
  <c r="B48" i="6"/>
  <c r="B45" i="6"/>
  <c r="Q30" i="5"/>
  <c r="S30" i="5"/>
  <c r="B47" i="6"/>
  <c r="E8" i="7"/>
  <c r="Y18" i="6" l="1"/>
  <c r="L19" i="6"/>
  <c r="L20" i="6" s="1"/>
  <c r="AA18" i="6" s="1"/>
  <c r="AC51" i="5"/>
  <c r="AA51" i="5" s="1"/>
  <c r="A8" i="7"/>
  <c r="P52" i="6"/>
  <c r="P53" i="6"/>
  <c r="P54" i="6"/>
  <c r="P55" i="6"/>
  <c r="D42" i="7"/>
  <c r="K8" i="7"/>
  <c r="AC54" i="5"/>
  <c r="AC55" i="5"/>
  <c r="AC53" i="5"/>
  <c r="AC52" i="5"/>
  <c r="B14" i="7"/>
  <c r="R31" i="5"/>
  <c r="T31" i="5"/>
  <c r="T35" i="5" s="1"/>
  <c r="S31" i="5"/>
  <c r="S35" i="5" s="1"/>
  <c r="Q31" i="5"/>
  <c r="Q33" i="5" s="1"/>
  <c r="F59" i="6" s="1"/>
  <c r="N59" i="6" s="1"/>
  <c r="G8" i="7"/>
  <c r="G14" i="7" s="1"/>
  <c r="K44" i="6"/>
  <c r="H44" i="6"/>
  <c r="L16" i="6" l="1"/>
  <c r="L13" i="6" s="1"/>
  <c r="R35" i="5"/>
  <c r="R33" i="5"/>
  <c r="F60" i="6" s="1"/>
  <c r="AC43" i="6"/>
  <c r="S42" i="6"/>
  <c r="AJ44" i="6"/>
  <c r="Q35" i="5"/>
  <c r="S33" i="5"/>
  <c r="F61" i="6" s="1"/>
  <c r="N61" i="6" s="1"/>
  <c r="T36" i="5"/>
  <c r="T33" i="5"/>
  <c r="F44" i="6"/>
  <c r="P30" i="5"/>
  <c r="B44" i="6"/>
  <c r="T23" i="6"/>
  <c r="T13" i="6"/>
  <c r="T28" i="6"/>
  <c r="T18" i="6"/>
  <c r="A51" i="6" l="1"/>
  <c r="A56" i="6" s="1"/>
  <c r="Y13" i="6"/>
  <c r="W45" i="6" s="1"/>
  <c r="L14" i="6"/>
  <c r="L15" i="6" s="1"/>
  <c r="AA13" i="6" s="1"/>
  <c r="Y45" i="6" s="1"/>
  <c r="N60" i="6"/>
  <c r="F62" i="6"/>
  <c r="N62" i="6" s="1"/>
  <c r="B51" i="6"/>
  <c r="B56" i="6" s="1"/>
  <c r="W47" i="6"/>
  <c r="Y47" i="6"/>
  <c r="Y46" i="6"/>
  <c r="W46" i="6"/>
  <c r="P31" i="5"/>
  <c r="D51" i="6"/>
  <c r="L2" i="5"/>
  <c r="AA51" i="6" l="1"/>
  <c r="H5" i="6"/>
  <c r="G5" i="6"/>
  <c r="J5" i="6"/>
  <c r="P35" i="5"/>
  <c r="P32" i="5"/>
  <c r="P36" i="5"/>
  <c r="P51" i="6"/>
  <c r="P33" i="5"/>
  <c r="L27" i="5"/>
  <c r="H10" i="5"/>
  <c r="O8" i="5"/>
  <c r="O10" i="5"/>
  <c r="V29" i="5"/>
  <c r="F29" i="5" s="1"/>
  <c r="S26" i="5"/>
  <c r="C26" i="5" s="1"/>
  <c r="W30" i="5"/>
  <c r="G30" i="5" s="1"/>
  <c r="T27" i="5"/>
  <c r="D27" i="5" s="1"/>
  <c r="U28" i="5"/>
  <c r="E28" i="5" s="1"/>
  <c r="H8" i="5"/>
  <c r="V48" i="6" l="1"/>
  <c r="V47" i="6"/>
  <c r="V46" i="6"/>
  <c r="V45" i="6"/>
  <c r="V44" i="6"/>
  <c r="AB18" i="6"/>
  <c r="AB28" i="6"/>
  <c r="AB23" i="6"/>
  <c r="AB8" i="6"/>
  <c r="AB13" i="6"/>
  <c r="X10" i="5"/>
  <c r="X9" i="5"/>
  <c r="X8" i="5"/>
  <c r="X6" i="5"/>
  <c r="X7" i="5"/>
  <c r="J19" i="7"/>
  <c r="F19" i="7"/>
  <c r="H20" i="7"/>
  <c r="J25" i="7"/>
  <c r="J20" i="7"/>
  <c r="F20" i="7"/>
  <c r="D20" i="7"/>
  <c r="D24" i="7"/>
  <c r="J26" i="7"/>
  <c r="D25" i="7"/>
  <c r="J24" i="7"/>
  <c r="D26" i="7"/>
  <c r="D19" i="7"/>
  <c r="H25" i="7"/>
  <c r="H24" i="7"/>
  <c r="H26" i="7"/>
  <c r="F26" i="7"/>
  <c r="F25" i="7"/>
  <c r="F24" i="7"/>
  <c r="H19" i="7"/>
  <c r="B26" i="7"/>
  <c r="B19" i="7"/>
  <c r="B24" i="7"/>
  <c r="B20" i="7"/>
  <c r="B25" i="7"/>
  <c r="O3" i="5"/>
  <c r="U58" i="6" s="1"/>
  <c r="S73" i="6"/>
  <c r="F58" i="6"/>
  <c r="F30" i="5"/>
  <c r="E29" i="5"/>
  <c r="D28" i="5"/>
  <c r="C27" i="5"/>
  <c r="B26" i="5"/>
  <c r="A27" i="5"/>
  <c r="A30" i="5"/>
  <c r="A26" i="5"/>
  <c r="A29" i="5"/>
  <c r="A28" i="5"/>
  <c r="H21" i="7" l="1"/>
  <c r="G21" i="7" s="1"/>
  <c r="H27" i="7"/>
  <c r="G27" i="7" s="1"/>
  <c r="F27" i="7"/>
  <c r="E27" i="7" s="1"/>
  <c r="J27" i="7"/>
  <c r="I27" i="7" s="1"/>
  <c r="D27" i="7"/>
  <c r="C27" i="7" s="1"/>
  <c r="F21" i="7"/>
  <c r="E21" i="7" s="1"/>
  <c r="D21" i="7"/>
  <c r="C21" i="7" s="1"/>
  <c r="J21" i="7"/>
  <c r="I21" i="7" s="1"/>
  <c r="Q8" i="5"/>
  <c r="A2" i="1" s="1"/>
  <c r="U59" i="6"/>
  <c r="Y59" i="6" s="1"/>
  <c r="U60" i="6"/>
  <c r="Y60" i="6" s="1"/>
  <c r="U61" i="6"/>
  <c r="Y61" i="6" s="1"/>
  <c r="U62" i="6"/>
  <c r="Y62" i="6" s="1"/>
  <c r="V42" i="6"/>
  <c r="Y58" i="6"/>
  <c r="A59" i="6"/>
  <c r="C57" i="6"/>
  <c r="N58" i="6"/>
  <c r="C59" i="6"/>
  <c r="N57" i="6"/>
  <c r="F57" i="6"/>
  <c r="C61" i="6"/>
  <c r="C58" i="6"/>
  <c r="C62" i="6"/>
  <c r="C60" i="6"/>
  <c r="B27" i="7"/>
  <c r="A27" i="7" s="1"/>
  <c r="B21" i="7"/>
  <c r="A21" i="7" s="1"/>
  <c r="X2" i="5"/>
  <c r="C69" i="1" s="1"/>
  <c r="H27" i="5"/>
  <c r="AG45" i="6" s="1"/>
  <c r="H30" i="5"/>
  <c r="AG48" i="6" s="1"/>
  <c r="H28" i="5"/>
  <c r="AG46" i="6" s="1"/>
  <c r="H29" i="5"/>
  <c r="AG47" i="6" s="1"/>
  <c r="H26" i="5"/>
  <c r="N44" i="6" s="1"/>
  <c r="T8" i="6"/>
  <c r="Q8" i="6"/>
  <c r="D8" i="6" s="1"/>
  <c r="D10" i="6" s="1"/>
  <c r="U57" i="6" l="1"/>
  <c r="Y57" i="6"/>
  <c r="AP6" i="1"/>
  <c r="A30" i="7"/>
  <c r="AN53" i="1"/>
  <c r="AN65" i="1"/>
  <c r="AN57" i="1"/>
  <c r="AN61" i="1"/>
  <c r="BD41" i="1"/>
  <c r="BQ6" i="1"/>
  <c r="BD6" i="1"/>
  <c r="AP41" i="1"/>
  <c r="L31" i="6" l="1"/>
  <c r="L28" i="6" s="1"/>
  <c r="Y28" i="6" l="1"/>
  <c r="W48" i="6" s="1"/>
  <c r="L29" i="6"/>
  <c r="L30" i="6" s="1"/>
  <c r="AA28" i="6" s="1"/>
  <c r="Y48" i="6" s="1"/>
  <c r="AF10" i="6" l="1"/>
  <c r="AK12" i="6" l="1"/>
  <c r="AK10" i="6" s="1"/>
  <c r="K51" i="6" s="1"/>
  <c r="AF11" i="6"/>
  <c r="H65" i="6"/>
  <c r="H51" i="6" l="1"/>
  <c r="AJ51" i="6" s="1"/>
  <c r="AK51" i="6"/>
  <c r="S51" i="6" l="1"/>
  <c r="AG44" i="6" s="1"/>
  <c r="AN49" i="1" s="1"/>
  <c r="AA41" i="1" s="1"/>
  <c r="L11" i="6" l="1"/>
  <c r="L8" i="6" s="1"/>
  <c r="Y8" i="6" s="1"/>
  <c r="W44" i="6" l="1"/>
  <c r="L9" i="6"/>
  <c r="L10" i="6" s="1"/>
  <c r="AA8" i="6" s="1"/>
  <c r="Y44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Enrico Rho</author>
  </authors>
  <commentList>
    <comment ref="AJ9" authorId="0" shapeId="0" xr:uid="{C080A2A8-B736-4786-B5A5-3C4C35EC6CB5}">
      <text>
        <r>
          <rPr>
            <b/>
            <sz val="9"/>
            <color indexed="81"/>
            <rFont val="Tahoma"/>
            <family val="2"/>
          </rPr>
          <t>Enrico Rho:</t>
        </r>
        <r>
          <rPr>
            <sz val="9"/>
            <color indexed="81"/>
            <rFont val="Tahoma"/>
            <family val="2"/>
          </rPr>
          <t xml:space="preserve">
COD.CERNIERA</t>
        </r>
      </text>
    </comment>
    <comment ref="AK9" authorId="0" shapeId="0" xr:uid="{9B2B1A1A-64F3-411B-A8DE-6A0F93ED6378}">
      <text>
        <r>
          <rPr>
            <b/>
            <sz val="9"/>
            <color indexed="81"/>
            <rFont val="Tahoma"/>
            <family val="2"/>
          </rPr>
          <t>Enrico Rho:</t>
        </r>
        <r>
          <rPr>
            <sz val="9"/>
            <color indexed="81"/>
            <rFont val="Tahoma"/>
            <family val="2"/>
          </rPr>
          <t xml:space="preserve">
ADATTATORE BASE SP.3mm</t>
        </r>
      </text>
    </comment>
    <comment ref="AK10" authorId="0" shapeId="0" xr:uid="{13679E00-9168-4881-B9D2-9F6FFE06442A}">
      <text>
        <r>
          <rPr>
            <b/>
            <sz val="9"/>
            <color indexed="81"/>
            <rFont val="Tahoma"/>
            <family val="2"/>
          </rPr>
          <t>Enrico Rho:</t>
        </r>
        <r>
          <rPr>
            <sz val="9"/>
            <color indexed="81"/>
            <rFont val="Tahoma"/>
            <family val="2"/>
          </rPr>
          <t xml:space="preserve">
BASETTE NERE</t>
        </r>
      </text>
    </comment>
    <comment ref="AK12" authorId="0" shapeId="0" xr:uid="{E78CAC02-4F21-49C4-BD4B-38A53DD3DA96}">
      <text>
        <r>
          <rPr>
            <b/>
            <sz val="9"/>
            <color indexed="81"/>
            <rFont val="Tahoma"/>
            <family val="2"/>
          </rPr>
          <t>Enrico Rho:</t>
        </r>
        <r>
          <rPr>
            <sz val="9"/>
            <color indexed="81"/>
            <rFont val="Tahoma"/>
            <family val="2"/>
          </rPr>
          <t xml:space="preserve">
CERNIERA</t>
        </r>
      </text>
    </comment>
    <comment ref="AJ14" authorId="0" shapeId="0" xr:uid="{21FEC516-14F7-4781-9846-4921BC5CB014}">
      <text>
        <r>
          <rPr>
            <b/>
            <sz val="9"/>
            <color indexed="81"/>
            <rFont val="Tahoma"/>
            <family val="2"/>
          </rPr>
          <t>Enrico Rho:</t>
        </r>
        <r>
          <rPr>
            <sz val="9"/>
            <color indexed="81"/>
            <rFont val="Tahoma"/>
            <family val="2"/>
          </rPr>
          <t xml:space="preserve">
COD.CERNIERA</t>
        </r>
      </text>
    </comment>
    <comment ref="AK14" authorId="0" shapeId="0" xr:uid="{36CB388F-7BEC-485C-A987-993E39216318}">
      <text>
        <r>
          <rPr>
            <b/>
            <sz val="9"/>
            <color indexed="81"/>
            <rFont val="Tahoma"/>
            <family val="2"/>
          </rPr>
          <t>Enrico Rho:</t>
        </r>
        <r>
          <rPr>
            <sz val="9"/>
            <color indexed="81"/>
            <rFont val="Tahoma"/>
            <family val="2"/>
          </rPr>
          <t xml:space="preserve">
ADATTATORE BASE SP.3mm</t>
        </r>
      </text>
    </comment>
    <comment ref="AK15" authorId="0" shapeId="0" xr:uid="{A88DB7A2-792B-4234-9C3E-C611D73B6221}">
      <text>
        <r>
          <rPr>
            <b/>
            <sz val="9"/>
            <color indexed="81"/>
            <rFont val="Tahoma"/>
            <family val="2"/>
          </rPr>
          <t>Enrico Rho:</t>
        </r>
        <r>
          <rPr>
            <sz val="9"/>
            <color indexed="81"/>
            <rFont val="Tahoma"/>
            <family val="2"/>
          </rPr>
          <t xml:space="preserve">
BASETTE NERE</t>
        </r>
      </text>
    </comment>
    <comment ref="AK17" authorId="0" shapeId="0" xr:uid="{E7776836-A6A7-47E0-8773-8901279BF8F2}">
      <text>
        <r>
          <rPr>
            <b/>
            <sz val="9"/>
            <color indexed="81"/>
            <rFont val="Tahoma"/>
            <family val="2"/>
          </rPr>
          <t>Enrico Rho:</t>
        </r>
        <r>
          <rPr>
            <sz val="9"/>
            <color indexed="81"/>
            <rFont val="Tahoma"/>
            <family val="2"/>
          </rPr>
          <t xml:space="preserve">
CERNIERA</t>
        </r>
      </text>
    </comment>
    <comment ref="AJ19" authorId="0" shapeId="0" xr:uid="{F71237A5-78ED-49A6-BD0E-8E548476A755}">
      <text>
        <r>
          <rPr>
            <b/>
            <sz val="9"/>
            <color indexed="81"/>
            <rFont val="Tahoma"/>
            <family val="2"/>
          </rPr>
          <t>Enrico Rho:</t>
        </r>
        <r>
          <rPr>
            <sz val="9"/>
            <color indexed="81"/>
            <rFont val="Tahoma"/>
            <family val="2"/>
          </rPr>
          <t xml:space="preserve">
COD.CERNIERA</t>
        </r>
      </text>
    </comment>
    <comment ref="AK19" authorId="0" shapeId="0" xr:uid="{EDEEB37A-0994-42A8-A361-D827F8FB81B3}">
      <text>
        <r>
          <rPr>
            <b/>
            <sz val="9"/>
            <color indexed="81"/>
            <rFont val="Tahoma"/>
            <family val="2"/>
          </rPr>
          <t>Enrico Rho:</t>
        </r>
        <r>
          <rPr>
            <sz val="9"/>
            <color indexed="81"/>
            <rFont val="Tahoma"/>
            <family val="2"/>
          </rPr>
          <t xml:space="preserve">
ADATTATORE BASE SP.3mm</t>
        </r>
      </text>
    </comment>
    <comment ref="AK20" authorId="0" shapeId="0" xr:uid="{26167492-FFA7-40AE-A48B-10C188EE1184}">
      <text>
        <r>
          <rPr>
            <b/>
            <sz val="9"/>
            <color indexed="81"/>
            <rFont val="Tahoma"/>
            <family val="2"/>
          </rPr>
          <t>Enrico Rho:</t>
        </r>
        <r>
          <rPr>
            <sz val="9"/>
            <color indexed="81"/>
            <rFont val="Tahoma"/>
            <family val="2"/>
          </rPr>
          <t xml:space="preserve">
BASETTE NERE</t>
        </r>
      </text>
    </comment>
    <comment ref="AK22" authorId="0" shapeId="0" xr:uid="{BB0177FD-77AA-428D-8475-5905BAD02BB5}">
      <text>
        <r>
          <rPr>
            <b/>
            <sz val="9"/>
            <color indexed="81"/>
            <rFont val="Tahoma"/>
            <family val="2"/>
          </rPr>
          <t>Enrico Rho:</t>
        </r>
        <r>
          <rPr>
            <sz val="9"/>
            <color indexed="81"/>
            <rFont val="Tahoma"/>
            <family val="2"/>
          </rPr>
          <t xml:space="preserve">
CERNIERA</t>
        </r>
      </text>
    </comment>
    <comment ref="AJ24" authorId="0" shapeId="0" xr:uid="{304A12FB-CC5D-4F19-8EE9-A278075F2B9D}">
      <text>
        <r>
          <rPr>
            <b/>
            <sz val="9"/>
            <color indexed="81"/>
            <rFont val="Tahoma"/>
            <family val="2"/>
          </rPr>
          <t>Enrico Rho:</t>
        </r>
        <r>
          <rPr>
            <sz val="9"/>
            <color indexed="81"/>
            <rFont val="Tahoma"/>
            <family val="2"/>
          </rPr>
          <t xml:space="preserve">
COD.CERNIERA</t>
        </r>
      </text>
    </comment>
    <comment ref="AK24" authorId="0" shapeId="0" xr:uid="{67F22132-9097-4736-8F0F-76CA6A4EF264}">
      <text>
        <r>
          <rPr>
            <b/>
            <sz val="9"/>
            <color indexed="81"/>
            <rFont val="Tahoma"/>
            <family val="2"/>
          </rPr>
          <t>Enrico Rho:</t>
        </r>
        <r>
          <rPr>
            <sz val="9"/>
            <color indexed="81"/>
            <rFont val="Tahoma"/>
            <family val="2"/>
          </rPr>
          <t xml:space="preserve">
ADATTATORE BASE SP.3mm</t>
        </r>
      </text>
    </comment>
    <comment ref="AK25" authorId="0" shapeId="0" xr:uid="{362E2E10-226B-407F-8C3A-A21660DD504B}">
      <text>
        <r>
          <rPr>
            <b/>
            <sz val="9"/>
            <color indexed="81"/>
            <rFont val="Tahoma"/>
            <family val="2"/>
          </rPr>
          <t>Enrico Rho:</t>
        </r>
        <r>
          <rPr>
            <sz val="9"/>
            <color indexed="81"/>
            <rFont val="Tahoma"/>
            <family val="2"/>
          </rPr>
          <t xml:space="preserve">
BASETTE NERE</t>
        </r>
      </text>
    </comment>
    <comment ref="AK27" authorId="0" shapeId="0" xr:uid="{645D1E30-E0FE-4405-8D2A-A7EBC357364F}">
      <text>
        <r>
          <rPr>
            <b/>
            <sz val="9"/>
            <color indexed="81"/>
            <rFont val="Tahoma"/>
            <family val="2"/>
          </rPr>
          <t>Enrico Rho:</t>
        </r>
        <r>
          <rPr>
            <sz val="9"/>
            <color indexed="81"/>
            <rFont val="Tahoma"/>
            <family val="2"/>
          </rPr>
          <t xml:space="preserve">
CERNIERA</t>
        </r>
      </text>
    </comment>
    <comment ref="AJ29" authorId="0" shapeId="0" xr:uid="{19EB5A8E-508C-4B83-9E19-A89C5F573590}">
      <text>
        <r>
          <rPr>
            <b/>
            <sz val="9"/>
            <color indexed="81"/>
            <rFont val="Tahoma"/>
            <family val="2"/>
          </rPr>
          <t>Enrico Rho:</t>
        </r>
        <r>
          <rPr>
            <sz val="9"/>
            <color indexed="81"/>
            <rFont val="Tahoma"/>
            <family val="2"/>
          </rPr>
          <t xml:space="preserve">
COD.CERNIERA</t>
        </r>
      </text>
    </comment>
    <comment ref="AK29" authorId="0" shapeId="0" xr:uid="{80A7E88C-70D0-4412-8C42-4794BE55A22B}">
      <text>
        <r>
          <rPr>
            <b/>
            <sz val="9"/>
            <color indexed="81"/>
            <rFont val="Tahoma"/>
            <family val="2"/>
          </rPr>
          <t>Enrico Rho:</t>
        </r>
        <r>
          <rPr>
            <sz val="9"/>
            <color indexed="81"/>
            <rFont val="Tahoma"/>
            <family val="2"/>
          </rPr>
          <t xml:space="preserve">
ADATTATORE BASE SP.3mm</t>
        </r>
      </text>
    </comment>
    <comment ref="AK30" authorId="0" shapeId="0" xr:uid="{8A817A84-271B-4B59-8B1E-2005E0CE4C28}">
      <text>
        <r>
          <rPr>
            <b/>
            <sz val="9"/>
            <color indexed="81"/>
            <rFont val="Tahoma"/>
            <family val="2"/>
          </rPr>
          <t>Enrico Rho:</t>
        </r>
        <r>
          <rPr>
            <sz val="9"/>
            <color indexed="81"/>
            <rFont val="Tahoma"/>
            <family val="2"/>
          </rPr>
          <t xml:space="preserve">
BASETTE NERE</t>
        </r>
      </text>
    </comment>
    <comment ref="AK32" authorId="0" shapeId="0" xr:uid="{77759D61-739B-4243-A754-931433701707}">
      <text>
        <r>
          <rPr>
            <b/>
            <sz val="9"/>
            <color indexed="81"/>
            <rFont val="Tahoma"/>
            <family val="2"/>
          </rPr>
          <t>Enrico Rho:</t>
        </r>
        <r>
          <rPr>
            <sz val="9"/>
            <color indexed="81"/>
            <rFont val="Tahoma"/>
            <family val="2"/>
          </rPr>
          <t xml:space="preserve">
CERNIERA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Enrico Rho</author>
  </authors>
  <commentList>
    <comment ref="O3" authorId="0" shapeId="0" xr:uid="{0F25C1D7-F5B4-4307-AB46-8EDCA4BBFD9A}">
      <text>
        <r>
          <rPr>
            <b/>
            <sz val="9"/>
            <color indexed="81"/>
            <rFont val="Tahoma"/>
            <family val="2"/>
          </rPr>
          <t>Enrico Rho:</t>
        </r>
        <r>
          <rPr>
            <sz val="9"/>
            <color indexed="81"/>
            <rFont val="Tahoma"/>
            <family val="2"/>
          </rPr>
          <t xml:space="preserve">
se selezionato il profilo stretto restituisci 1</t>
        </r>
      </text>
    </comment>
    <comment ref="O6" authorId="0" shapeId="0" xr:uid="{AF5FEBC6-E9BA-42C3-8D17-F130616CE3CC}">
      <text>
        <r>
          <rPr>
            <b/>
            <sz val="9"/>
            <color indexed="81"/>
            <rFont val="Tahoma"/>
            <family val="2"/>
          </rPr>
          <t>Enrico Rho:
PR20</t>
        </r>
      </text>
    </comment>
    <comment ref="K8" authorId="0" shapeId="0" xr:uid="{11308D9B-8E8B-4303-807F-D43453D7D237}">
      <text>
        <r>
          <rPr>
            <b/>
            <sz val="9"/>
            <color indexed="81"/>
            <rFont val="Tahoma"/>
            <family val="2"/>
          </rPr>
          <t>Enrico Rho:</t>
        </r>
        <r>
          <rPr>
            <sz val="9"/>
            <color indexed="81"/>
            <rFont val="Tahoma"/>
            <family val="2"/>
          </rPr>
          <t xml:space="preserve">
METAL GREY o MOONLIGHT
prezzo identico</t>
        </r>
      </text>
    </comment>
    <comment ref="O8" authorId="0" shapeId="0" xr:uid="{E908F57A-DC19-4031-915B-D17194BEB04B}">
      <text>
        <r>
          <rPr>
            <b/>
            <sz val="9"/>
            <color indexed="81"/>
            <rFont val="Tahoma"/>
            <family val="2"/>
          </rPr>
          <t>Enrico Rho:</t>
        </r>
        <r>
          <rPr>
            <sz val="9"/>
            <color indexed="81"/>
            <rFont val="Tahoma"/>
            <family val="2"/>
          </rPr>
          <t xml:space="preserve">
PR30</t>
        </r>
      </text>
    </comment>
    <comment ref="O10" authorId="0" shapeId="0" xr:uid="{9D6182BD-AA14-4D65-9E55-E2C479506DD9}">
      <text>
        <r>
          <rPr>
            <b/>
            <sz val="9"/>
            <color indexed="81"/>
            <rFont val="Tahoma"/>
            <family val="2"/>
          </rPr>
          <t>Enrico Rho:</t>
        </r>
        <r>
          <rPr>
            <sz val="9"/>
            <color indexed="81"/>
            <rFont val="Tahoma"/>
            <family val="2"/>
          </rPr>
          <t xml:space="preserve">
1933</t>
        </r>
      </text>
    </comment>
    <comment ref="K11" authorId="0" shapeId="0" xr:uid="{10DEDBA7-0D27-4736-8958-9337996E4F13}">
      <text>
        <r>
          <rPr>
            <b/>
            <sz val="9"/>
            <color indexed="81"/>
            <rFont val="Tahoma"/>
            <family val="2"/>
          </rPr>
          <t>Enrico Rho:</t>
        </r>
        <r>
          <rPr>
            <sz val="9"/>
            <color indexed="81"/>
            <rFont val="Tahoma"/>
            <family val="2"/>
          </rPr>
          <t xml:space="preserve">
METAL GREY o BIANCO PRIMER
prezzo identico</t>
        </r>
      </text>
    </comment>
    <comment ref="O12" authorId="0" shapeId="0" xr:uid="{7596A433-EA50-467F-80B4-669AC685E19C}">
      <text>
        <r>
          <rPr>
            <b/>
            <sz val="9"/>
            <color indexed="81"/>
            <rFont val="Tahoma"/>
            <family val="2"/>
          </rPr>
          <t>Enrico Rho:</t>
        </r>
        <r>
          <rPr>
            <sz val="9"/>
            <color indexed="81"/>
            <rFont val="Tahoma"/>
            <family val="2"/>
          </rPr>
          <t xml:space="preserve">
ARTICOLI H 3000 MAX</t>
        </r>
      </text>
    </comment>
    <comment ref="K19" authorId="0" shapeId="0" xr:uid="{6CAF9DB1-2732-4F21-BF80-3B6FA7E280E7}">
      <text>
        <r>
          <rPr>
            <b/>
            <sz val="9"/>
            <color indexed="81"/>
            <rFont val="Tahoma"/>
            <family val="2"/>
          </rPr>
          <t>Enrico Rho:</t>
        </r>
        <r>
          <rPr>
            <sz val="9"/>
            <color indexed="81"/>
            <rFont val="Tahoma"/>
            <family val="2"/>
          </rPr>
          <t xml:space="preserve">
ALLUMINIO ANODIZZATO o ACCIAIO ANODIZZATO
prezzo identico</t>
        </r>
      </text>
    </comment>
    <comment ref="O19" authorId="0" shapeId="0" xr:uid="{D016396F-C184-4ECC-ADD1-3AB91490D4B9}">
      <text>
        <r>
          <rPr>
            <b/>
            <sz val="9"/>
            <color indexed="81"/>
            <rFont val="Tahoma"/>
            <family val="2"/>
          </rPr>
          <t>Enrico Rho:</t>
        </r>
        <r>
          <rPr>
            <sz val="9"/>
            <color indexed="81"/>
            <rFont val="Tahoma"/>
            <family val="2"/>
          </rPr>
          <t xml:space="preserve">
ARTICOLI H 2800 MAX</t>
        </r>
      </text>
    </comment>
    <comment ref="K20" authorId="0" shapeId="0" xr:uid="{8D1BE6CA-F0CF-47F9-8B2A-DC39FB992873}">
      <text>
        <r>
          <rPr>
            <b/>
            <sz val="9"/>
            <color indexed="81"/>
            <rFont val="Tahoma"/>
            <family val="2"/>
          </rPr>
          <t>Enrico Rho:</t>
        </r>
        <r>
          <rPr>
            <sz val="9"/>
            <color indexed="81"/>
            <rFont val="Tahoma"/>
            <family val="2"/>
          </rPr>
          <t xml:space="preserve">
METAL GREY o
 NERO OPACO RAL 9005
prezzo identico</t>
        </r>
      </text>
    </comment>
    <comment ref="K21" authorId="0" shapeId="0" xr:uid="{DC29DF46-DF19-4A44-9B75-802AD33CED95}">
      <text>
        <r>
          <rPr>
            <b/>
            <sz val="9"/>
            <color indexed="81"/>
            <rFont val="Tahoma"/>
            <family val="2"/>
          </rPr>
          <t>Enrico Rho:</t>
        </r>
        <r>
          <rPr>
            <sz val="9"/>
            <color indexed="81"/>
            <rFont val="Tahoma"/>
            <family val="2"/>
          </rPr>
          <t xml:space="preserve">
2020  RAL 7016 SCURO / RAL 7035 CHIARO
prezzo identico</t>
        </r>
      </text>
    </comment>
    <comment ref="K22" authorId="0" shapeId="0" xr:uid="{1BA83493-FD47-4F43-84F2-36F83D20FA5A}">
      <text>
        <r>
          <rPr>
            <b/>
            <sz val="9"/>
            <color indexed="81"/>
            <rFont val="Tahoma"/>
            <family val="2"/>
          </rPr>
          <t>Enrico Rho:</t>
        </r>
        <r>
          <rPr>
            <sz val="9"/>
            <color indexed="81"/>
            <rFont val="Tahoma"/>
            <family val="2"/>
          </rPr>
          <t xml:space="preserve">
ALLUMINIO ANODIZZATO o ACCIAIO ANODIZZATO
prezzo identico</t>
        </r>
      </text>
    </comment>
    <comment ref="O22" authorId="0" shapeId="0" xr:uid="{4DB3CE78-2A43-4830-B85F-0C69988FA403}">
      <text>
        <r>
          <rPr>
            <b/>
            <sz val="9"/>
            <color indexed="81"/>
            <rFont val="Tahoma"/>
            <family val="2"/>
          </rPr>
          <t>Enrico Rho:</t>
        </r>
        <r>
          <rPr>
            <sz val="9"/>
            <color indexed="81"/>
            <rFont val="Tahoma"/>
            <family val="2"/>
          </rPr>
          <t xml:space="preserve">
ARTICOLI H 2500 MAX</t>
        </r>
      </text>
    </comment>
    <comment ref="K23" authorId="0" shapeId="0" xr:uid="{1375C7C9-5DE4-4D08-8B22-7593396E65A2}">
      <text>
        <r>
          <rPr>
            <b/>
            <sz val="9"/>
            <color indexed="81"/>
            <rFont val="Tahoma"/>
            <family val="2"/>
          </rPr>
          <t>Enrico Rho:</t>
        </r>
        <r>
          <rPr>
            <sz val="9"/>
            <color indexed="81"/>
            <rFont val="Tahoma"/>
            <family val="2"/>
          </rPr>
          <t xml:space="preserve">
METAL GREY o
 NERO OPACO RAL 9005
prezzo identico</t>
        </r>
      </text>
    </comment>
  </commentList>
</comments>
</file>

<file path=xl/sharedStrings.xml><?xml version="1.0" encoding="utf-8"?>
<sst xmlns="http://schemas.openxmlformats.org/spreadsheetml/2006/main" count="1400" uniqueCount="352">
  <si>
    <t>Q.TA'</t>
  </si>
  <si>
    <t>VETRO</t>
  </si>
  <si>
    <t>CERNIERE</t>
  </si>
  <si>
    <t>PROFILO</t>
  </si>
  <si>
    <t>TIPO</t>
  </si>
  <si>
    <t>MISURA</t>
  </si>
  <si>
    <t>CLIENTE :</t>
  </si>
  <si>
    <t>NOTE :</t>
  </si>
  <si>
    <t>A</t>
  </si>
  <si>
    <t>D</t>
  </si>
  <si>
    <t>B</t>
  </si>
  <si>
    <t>C</t>
  </si>
  <si>
    <t>E</t>
  </si>
  <si>
    <t>H</t>
  </si>
  <si>
    <t>L</t>
  </si>
  <si>
    <t>BASE 0</t>
  </si>
  <si>
    <t>BASE 03</t>
  </si>
  <si>
    <t>BASE 05</t>
  </si>
  <si>
    <t>HETTICH</t>
  </si>
  <si>
    <t>SATINATO</t>
  </si>
  <si>
    <t>TRASPARENTE</t>
  </si>
  <si>
    <t>SPECCHIO</t>
  </si>
  <si>
    <t>COSTO PROFILO</t>
  </si>
  <si>
    <t>TRASPARENTE EXTRACHIARO LACCATO RAL</t>
  </si>
  <si>
    <t>TRASPARENTE EXTRACHIARO</t>
  </si>
  <si>
    <t>SATINATO EXTRACHIARO</t>
  </si>
  <si>
    <t>SATINATO EXTRACHIARO LACCATO RAL</t>
  </si>
  <si>
    <t>FUME'</t>
  </si>
  <si>
    <t>BRONZO</t>
  </si>
  <si>
    <t>STOPSOL BRONZO</t>
  </si>
  <si>
    <t>SPECCHIO FUME'</t>
  </si>
  <si>
    <t>SPECCHIO BRONZATO</t>
  </si>
  <si>
    <t>STOPSOL FUME'</t>
  </si>
  <si>
    <t>SORMONTO LATO CERNIERA</t>
  </si>
  <si>
    <t xml:space="preserve">PREDISPOSIZIONI PARTICOLARI </t>
  </si>
  <si>
    <t>DATA :</t>
  </si>
  <si>
    <r>
      <rPr>
        <b/>
        <sz val="8"/>
        <rFont val="Arial"/>
        <family val="2"/>
      </rPr>
      <t>PR20</t>
    </r>
    <r>
      <rPr>
        <sz val="8"/>
        <rFont val="Arial"/>
        <family val="2"/>
      </rPr>
      <t xml:space="preserve"> ALLUMINIO ANODIZZATO</t>
    </r>
  </si>
  <si>
    <r>
      <rPr>
        <b/>
        <sz val="8"/>
        <rFont val="Arial"/>
        <family val="2"/>
      </rPr>
      <t>PR30</t>
    </r>
    <r>
      <rPr>
        <sz val="8"/>
        <rFont val="Arial"/>
        <family val="2"/>
      </rPr>
      <t xml:space="preserve"> ALLUMINIO GREZZO</t>
    </r>
  </si>
  <si>
    <t>PROFILO FINITURA</t>
  </si>
  <si>
    <r>
      <rPr>
        <b/>
        <sz val="8"/>
        <rFont val="Arial"/>
        <family val="2"/>
      </rPr>
      <t>1933</t>
    </r>
    <r>
      <rPr>
        <sz val="8"/>
        <rFont val="Arial"/>
        <family val="2"/>
      </rPr>
      <t xml:space="preserve"> ALLUMINIO ANODIZZATO</t>
    </r>
  </si>
  <si>
    <r>
      <rPr>
        <b/>
        <sz val="8"/>
        <rFont val="Arial"/>
        <family val="2"/>
      </rPr>
      <t>4004</t>
    </r>
    <r>
      <rPr>
        <sz val="8"/>
        <rFont val="Arial"/>
        <family val="2"/>
      </rPr>
      <t xml:space="preserve"> ALLUMINIO ANODIZZATO</t>
    </r>
  </si>
  <si>
    <t>PROFILI / FINITURE</t>
  </si>
  <si>
    <t>PER TUTTI GLI ALTRI PROFILI</t>
  </si>
  <si>
    <t>APERTURA 95°</t>
  </si>
  <si>
    <t>APERTURA 110°</t>
  </si>
  <si>
    <r>
      <t xml:space="preserve">TUTTO CALCOLATO CON  </t>
    </r>
    <r>
      <rPr>
        <b/>
        <sz val="12"/>
        <rFont val="Arial"/>
        <family val="2"/>
      </rPr>
      <t>K6</t>
    </r>
  </si>
  <si>
    <t>LACOBEL BIANCO EXTRACHIARO</t>
  </si>
  <si>
    <t>K</t>
  </si>
  <si>
    <t>SALICE</t>
  </si>
  <si>
    <t>BLUM</t>
  </si>
  <si>
    <t>GRASS</t>
  </si>
  <si>
    <t>RIF.  :</t>
  </si>
  <si>
    <t>NO</t>
  </si>
  <si>
    <t>9072524 BASE 0</t>
  </si>
  <si>
    <t>9072524 BASE 03</t>
  </si>
  <si>
    <t>9072524 BASE 05</t>
  </si>
  <si>
    <t>9072525 BASE 0</t>
  </si>
  <si>
    <t>9072525 BASE 03</t>
  </si>
  <si>
    <t>9072526 BASE 03</t>
  </si>
  <si>
    <t>9094000 BASE 0</t>
  </si>
  <si>
    <t>9094000 BASE 03</t>
  </si>
  <si>
    <t>9094000 BASE 05</t>
  </si>
  <si>
    <t>9094010 BASE 0</t>
  </si>
  <si>
    <t>9094010 BASE 03</t>
  </si>
  <si>
    <t>9094290 BASE 05</t>
  </si>
  <si>
    <t>misura in mm</t>
  </si>
  <si>
    <t xml:space="preserve">    LARGHEZZA</t>
  </si>
  <si>
    <t>N° SX</t>
  </si>
  <si>
    <t>N° DX</t>
  </si>
  <si>
    <t>GRES</t>
  </si>
  <si>
    <t>GRES  O  VETRI</t>
  </si>
  <si>
    <t>SX</t>
  </si>
  <si>
    <t>DX</t>
  </si>
  <si>
    <t>art. 1933</t>
  </si>
  <si>
    <t>A maniglia</t>
  </si>
  <si>
    <t>B maniglia</t>
  </si>
  <si>
    <t>C maniglia</t>
  </si>
  <si>
    <t>D maniglia</t>
  </si>
  <si>
    <t>E maniglia</t>
  </si>
  <si>
    <t>VERTICALE</t>
  </si>
  <si>
    <r>
      <t xml:space="preserve">N° fori su </t>
    </r>
    <r>
      <rPr>
        <b/>
        <sz val="10"/>
        <rFont val="Arial"/>
        <family val="2"/>
      </rPr>
      <t>L</t>
    </r>
  </si>
  <si>
    <t>x</t>
  </si>
  <si>
    <t>art. PR20</t>
  </si>
  <si>
    <t>MONTATA</t>
  </si>
  <si>
    <t>SMONTATA</t>
  </si>
  <si>
    <t>PROFILO :</t>
  </si>
  <si>
    <t>N° ANTE</t>
  </si>
  <si>
    <t>MANIGLIA SI o NO</t>
  </si>
  <si>
    <t>NICHELATE</t>
  </si>
  <si>
    <t>DS20</t>
  </si>
  <si>
    <t>DS30</t>
  </si>
  <si>
    <t>NICHELATE NERE</t>
  </si>
  <si>
    <t>SE è OK</t>
  </si>
  <si>
    <t>SE tutto OK</t>
  </si>
  <si>
    <t>CITTA' :</t>
  </si>
  <si>
    <t>CITTA':</t>
  </si>
  <si>
    <t>€ cad.</t>
  </si>
  <si>
    <t>SATINATO FUME'</t>
  </si>
  <si>
    <t>SATINATO BRONZO</t>
  </si>
  <si>
    <t>VENDITA VETRO GIA' TEMP. o C/PELLICOLA</t>
  </si>
  <si>
    <t>€ metro</t>
  </si>
  <si>
    <t>€ m2</t>
  </si>
  <si>
    <t>RIF. :</t>
  </si>
  <si>
    <t>VETRO :</t>
  </si>
  <si>
    <t>N°</t>
  </si>
  <si>
    <t>RIGA</t>
  </si>
  <si>
    <t>sormonto</t>
  </si>
  <si>
    <t>art. PR30</t>
  </si>
  <si>
    <t>N°ANTE</t>
  </si>
  <si>
    <t>peso cad.</t>
  </si>
  <si>
    <t>FREE FLAP MINI</t>
  </si>
  <si>
    <t>ALTEZZA</t>
  </si>
  <si>
    <t>FREE FLAP FORTE</t>
  </si>
  <si>
    <t>FREE17B</t>
  </si>
  <si>
    <t>FREE17C</t>
  </si>
  <si>
    <t>FREE315D</t>
  </si>
  <si>
    <t>FREE315F</t>
  </si>
  <si>
    <t>FREE315G</t>
  </si>
  <si>
    <t>NETTO</t>
  </si>
  <si>
    <t>MECCANISMO</t>
  </si>
  <si>
    <t>FREE FOLD</t>
  </si>
  <si>
    <t>KG</t>
  </si>
  <si>
    <t>FREE SWING</t>
  </si>
  <si>
    <t>FREE SLIDE</t>
  </si>
  <si>
    <t>345 - 420</t>
  </si>
  <si>
    <t>430 - 600</t>
  </si>
  <si>
    <t>1933 / PR20 / PR30</t>
  </si>
  <si>
    <t>ALL2X2</t>
  </si>
  <si>
    <t>FREEFOG5</t>
  </si>
  <si>
    <t>FREEFOH5</t>
  </si>
  <si>
    <t>SENSOCERLE</t>
  </si>
  <si>
    <t>cern. Centrali</t>
  </si>
  <si>
    <t>ALLSENSO</t>
  </si>
  <si>
    <t>FREESWS3G</t>
  </si>
  <si>
    <t>FREESWS6G</t>
  </si>
  <si>
    <t>FREESLP2G</t>
  </si>
  <si>
    <t>FREESLR3G</t>
  </si>
  <si>
    <t>FREESTAB450</t>
  </si>
  <si>
    <t>FREESTAB600</t>
  </si>
  <si>
    <t>FREESTAB900</t>
  </si>
  <si>
    <t>FREESTAB1200</t>
  </si>
  <si>
    <t>FREESTAB1800</t>
  </si>
  <si>
    <t>395 X 2</t>
  </si>
  <si>
    <t>420 X 2</t>
  </si>
  <si>
    <t>BARRA STABILIZZATRICE</t>
  </si>
  <si>
    <t>TOT.</t>
  </si>
  <si>
    <t>già con pellicola</t>
  </si>
  <si>
    <t>CAMPO CERNIERE E RELATIVO MESSAGGIO</t>
  </si>
  <si>
    <t>CAMPO MANIGLIE E RELATIVO MESSAGGIO</t>
  </si>
  <si>
    <t>RIGA A</t>
  </si>
  <si>
    <t>RIGA B</t>
  </si>
  <si>
    <t>RIGA C</t>
  </si>
  <si>
    <t>RIGA D</t>
  </si>
  <si>
    <t>RIGA E</t>
  </si>
  <si>
    <t>FREE SPACE</t>
  </si>
  <si>
    <t>FREESPC</t>
  </si>
  <si>
    <t>FREESPD</t>
  </si>
  <si>
    <t>FREESPE</t>
  </si>
  <si>
    <t>FREESPF</t>
  </si>
  <si>
    <t>ALTRO , in NOTE scrivi marca e modello :</t>
  </si>
  <si>
    <t>MAXI , in NOTE scrivi articolo e forza</t>
  </si>
  <si>
    <t>KRABY , in NOTE scrivi articolo e forza</t>
  </si>
  <si>
    <t>VETRI</t>
  </si>
  <si>
    <t>SE MECCANISMO NOSTRO , TOGLI FORI CERNIERE</t>
  </si>
  <si>
    <r>
      <t xml:space="preserve">N° fori su </t>
    </r>
    <r>
      <rPr>
        <b/>
        <sz val="10"/>
        <rFont val="Arial"/>
        <family val="2"/>
      </rPr>
      <t>H</t>
    </r>
  </si>
  <si>
    <t>SENSO APERTURA</t>
  </si>
  <si>
    <t>CAPPELLO O BASAMENTO</t>
  </si>
  <si>
    <t>PIENO (IVA esclusa)</t>
  </si>
  <si>
    <t>RAGIONE SOCIALE :</t>
  </si>
  <si>
    <t>PREDISPOSIZIONE CERNIERA :</t>
  </si>
  <si>
    <t>RIFERIMENTO :</t>
  </si>
  <si>
    <t>MONTATA :</t>
  </si>
  <si>
    <t>FINITURA :</t>
  </si>
  <si>
    <t>DARE CERNIERE :</t>
  </si>
  <si>
    <t>SI</t>
  </si>
  <si>
    <t>ALLUMINIO ANODIZZATO</t>
  </si>
  <si>
    <t>ALLUMINIO GREZZO</t>
  </si>
  <si>
    <t>METAL GREY</t>
  </si>
  <si>
    <t>BIANCO PRIMER</t>
  </si>
  <si>
    <t>RAL 7016 GRIGIO SCURO</t>
  </si>
  <si>
    <t>RAL 7035 GRIGIO CHIARO</t>
  </si>
  <si>
    <t>PROFILI</t>
  </si>
  <si>
    <t>art. 1934</t>
  </si>
  <si>
    <t>art. 4004</t>
  </si>
  <si>
    <t>art. AN008</t>
  </si>
  <si>
    <t>art. 3301</t>
  </si>
  <si>
    <t>art. 2020</t>
  </si>
  <si>
    <t>GRASS (fornire passi fori)</t>
  </si>
  <si>
    <t>HETTICH Sensys</t>
  </si>
  <si>
    <t>NERO OSSIDIANA</t>
  </si>
  <si>
    <t>DARE CERNIERA</t>
  </si>
  <si>
    <t>DARE CERNIERE</t>
  </si>
  <si>
    <t>FINITURA CERNIERE</t>
  </si>
  <si>
    <t>DS 20</t>
  </si>
  <si>
    <t>DS 30</t>
  </si>
  <si>
    <t>MANIGLIA</t>
  </si>
  <si>
    <t>PB21 da 150mm</t>
  </si>
  <si>
    <t>E5 da 104mm</t>
  </si>
  <si>
    <t>E6 da 120mm</t>
  </si>
  <si>
    <t>E3 da 62mm</t>
  </si>
  <si>
    <t>E3 da 126mm</t>
  </si>
  <si>
    <t>E6 da 250mm</t>
  </si>
  <si>
    <t>-</t>
  </si>
  <si>
    <t>PIANE BRUNITE</t>
  </si>
  <si>
    <t>MEZZO COLLO BRUNITE</t>
  </si>
  <si>
    <t>BASE 0 BRUNITA</t>
  </si>
  <si>
    <t>BASE 03 BRUNITA</t>
  </si>
  <si>
    <t>Fori Ø 5 passo</t>
  </si>
  <si>
    <t xml:space="preserve"> SORMONTO</t>
  </si>
  <si>
    <t>PREZZO CON VETRO, MONTAGGIO e FORI</t>
  </si>
  <si>
    <t>HETTICH Sensys PROFILO STRETTO</t>
  </si>
  <si>
    <r>
      <t xml:space="preserve">HETTICH Sensys </t>
    </r>
    <r>
      <rPr>
        <sz val="9"/>
        <rFont val="Arial"/>
        <family val="2"/>
      </rPr>
      <t>PROFILO STRETTO</t>
    </r>
  </si>
  <si>
    <t>9094000 - 9091761</t>
  </si>
  <si>
    <t>9094010 - 9091762</t>
  </si>
  <si>
    <t>tot. Maniglie</t>
  </si>
  <si>
    <t>ACCIAIO ANODIZZATO</t>
  </si>
  <si>
    <t>COSTO LAVORAZIONE</t>
  </si>
  <si>
    <t>TOTALE MANIGLIE</t>
  </si>
  <si>
    <t>COMPILA I CAMPI EVIDENZIATI IN VERDE</t>
  </si>
  <si>
    <t>SCRIVERE LE MISURE IN MM</t>
  </si>
  <si>
    <t>ANTE ALLUMINIO</t>
  </si>
  <si>
    <t>PR30 SENZA MAN.</t>
  </si>
  <si>
    <t>PR30 CON MANIGLIA</t>
  </si>
  <si>
    <t>MENO DI 410mm</t>
  </si>
  <si>
    <t>MENO DI 260mm</t>
  </si>
  <si>
    <t>risultato</t>
  </si>
  <si>
    <t>prova formula per foto maniglie</t>
  </si>
  <si>
    <t>AL PRONTO :</t>
  </si>
  <si>
    <t>RITIRA CLIENTE</t>
  </si>
  <si>
    <t>CONSEGNA VPA</t>
  </si>
  <si>
    <t>NERO OPACO RAL 9005</t>
  </si>
  <si>
    <t>IMBALLO CORRIERE VPA</t>
  </si>
  <si>
    <t>IMBALLO CORRIERE DEL CLIENTE</t>
  </si>
  <si>
    <t>indica MARCA e MODELLO</t>
  </si>
  <si>
    <t>TOT.CAD.</t>
  </si>
  <si>
    <t>€ anta</t>
  </si>
  <si>
    <t>art. PR20ALLUMINIO ANODIZZATO</t>
  </si>
  <si>
    <t>art. PR30ALLUMINIO GREZZO</t>
  </si>
  <si>
    <t>art. PR30METAL GREY</t>
  </si>
  <si>
    <t>art. 1933ALLUMINIO ANODIZZATO</t>
  </si>
  <si>
    <t>art. 1934ALLUMINIO ANODIZZATO</t>
  </si>
  <si>
    <t>art. AN008ALLUMINIO ANODIZZATO</t>
  </si>
  <si>
    <t>art. AN008ACCIAIO ANODIZZATO</t>
  </si>
  <si>
    <t>art. AN008METAL GREY</t>
  </si>
  <si>
    <t>art. AN008NERO OPACO RAL 9005</t>
  </si>
  <si>
    <t>art. 3301ALLUMINIO ANODIZZATO</t>
  </si>
  <si>
    <t>art. 3301ACCIAIO ANODIZZATO</t>
  </si>
  <si>
    <t>art. 3301METAL GREY</t>
  </si>
  <si>
    <t>art. 3301NERO OPACO RAL 9005</t>
  </si>
  <si>
    <t>art. 2020RAL 7016 GRIGIO SCURO</t>
  </si>
  <si>
    <t>art. 2020RAL 7035 GRIGIO CHIARO</t>
  </si>
  <si>
    <r>
      <rPr>
        <b/>
        <sz val="8"/>
        <rFont val="Arial"/>
        <family val="2"/>
      </rPr>
      <t xml:space="preserve">1933   </t>
    </r>
    <r>
      <rPr>
        <sz val="8"/>
        <rFont val="Arial"/>
        <family val="2"/>
      </rPr>
      <t>BIANCO PRIMER / METAL GREY</t>
    </r>
  </si>
  <si>
    <r>
      <rPr>
        <b/>
        <sz val="8"/>
        <rFont val="Arial"/>
        <family val="2"/>
      </rPr>
      <t xml:space="preserve">3301    </t>
    </r>
    <r>
      <rPr>
        <sz val="8"/>
        <rFont val="Arial"/>
        <family val="2"/>
      </rPr>
      <t>METAL GREY / NERO OPACO RAL 9005</t>
    </r>
  </si>
  <si>
    <r>
      <rPr>
        <b/>
        <sz val="8"/>
        <rFont val="Arial"/>
        <family val="2"/>
      </rPr>
      <t xml:space="preserve">PR30   </t>
    </r>
    <r>
      <rPr>
        <sz val="8"/>
        <rFont val="Arial"/>
        <family val="2"/>
      </rPr>
      <t xml:space="preserve"> METAL GREY / MOONLIGHT</t>
    </r>
  </si>
  <si>
    <r>
      <rPr>
        <b/>
        <sz val="8"/>
        <rFont val="Arial"/>
        <family val="2"/>
      </rPr>
      <t>AN008</t>
    </r>
    <r>
      <rPr>
        <sz val="8"/>
        <rFont val="Arial"/>
        <family val="2"/>
      </rPr>
      <t xml:space="preserve"> ALLUMINIO ANODIZZATO / ACCIAIO ANODIZZATO</t>
    </r>
  </si>
  <si>
    <r>
      <rPr>
        <b/>
        <sz val="8"/>
        <rFont val="Arial"/>
        <family val="2"/>
      </rPr>
      <t xml:space="preserve">3301    </t>
    </r>
    <r>
      <rPr>
        <sz val="8"/>
        <rFont val="Arial"/>
        <family val="2"/>
      </rPr>
      <t>ALLUMINIO ANODIZZATO / ACCIAIO ANODIZZATO</t>
    </r>
  </si>
  <si>
    <r>
      <rPr>
        <b/>
        <sz val="8"/>
        <rFont val="Arial"/>
        <family val="2"/>
      </rPr>
      <t xml:space="preserve">2020         </t>
    </r>
    <r>
      <rPr>
        <sz val="8"/>
        <rFont val="Arial"/>
        <family val="2"/>
      </rPr>
      <t>RAL 7016 SCURO / RAL 7035 CHIARO</t>
    </r>
  </si>
  <si>
    <r>
      <rPr>
        <b/>
        <sz val="8"/>
        <rFont val="Arial"/>
        <family val="2"/>
      </rPr>
      <t>AN008</t>
    </r>
    <r>
      <rPr>
        <sz val="8"/>
        <rFont val="Arial"/>
        <family val="2"/>
      </rPr>
      <t xml:space="preserve"> METAL GREY / NERO OPACO RAL 9005</t>
    </r>
  </si>
  <si>
    <t>LAVORAZIONE/SQUADRETTE/IMBALLO/MONTAGGIO SIoNO</t>
  </si>
  <si>
    <r>
      <rPr>
        <b/>
        <sz val="8"/>
        <rFont val="Arial"/>
        <family val="2"/>
      </rPr>
      <t>PR20</t>
    </r>
    <r>
      <rPr>
        <sz val="8"/>
        <rFont val="Arial"/>
        <family val="2"/>
      </rPr>
      <t xml:space="preserve"> METAL GREY</t>
    </r>
  </si>
  <si>
    <t>MOONLIGHT</t>
  </si>
  <si>
    <t>PB03 CERNIERA METAL GREY</t>
  </si>
  <si>
    <t>PB03 MANIGLIA METAL GREY</t>
  </si>
  <si>
    <t>PB03 TRAVERSI METAL GREY</t>
  </si>
  <si>
    <t>art. 4465</t>
  </si>
  <si>
    <t>art. PB03</t>
  </si>
  <si>
    <t>LE SUE</t>
  </si>
  <si>
    <t>art. 1933METAL GREY</t>
  </si>
  <si>
    <t>art. PR30MOONLIGHT</t>
  </si>
  <si>
    <t>art. AX24</t>
  </si>
  <si>
    <t>AX25</t>
  </si>
  <si>
    <t>art. PR20METAL GREY</t>
  </si>
  <si>
    <t>F</t>
  </si>
  <si>
    <t>G</t>
  </si>
  <si>
    <t>I</t>
  </si>
  <si>
    <t>AX24  METAL GREY</t>
  </si>
  <si>
    <t>art. AX24METAL GREY</t>
  </si>
  <si>
    <t>LIMITI ALTEZZA</t>
  </si>
  <si>
    <t>AX24   PEARL BEIGE</t>
  </si>
  <si>
    <t>PEARL BEIGE</t>
  </si>
  <si>
    <t>art. AX24PEARL BEIGE</t>
  </si>
  <si>
    <t>NO VETRO, NO GUARNIZIONI</t>
  </si>
  <si>
    <t>NO VETRO, DARE GUARNIZIONI</t>
  </si>
  <si>
    <t>ALTRO, SCRIVI IN NOTE</t>
  </si>
  <si>
    <t>NO VETRO, DARE GUARNIZIONI PER SP.6mm</t>
  </si>
  <si>
    <t>NO VETRO, DARE GUARNIZIONI PER SP.4 e 5mm</t>
  </si>
  <si>
    <t>N°cad.</t>
  </si>
  <si>
    <t>HB0</t>
  </si>
  <si>
    <t>HB3</t>
  </si>
  <si>
    <t>HB5</t>
  </si>
  <si>
    <t>HB5+HADB3</t>
  </si>
  <si>
    <t>HCLB25</t>
  </si>
  <si>
    <t>HCLMB25</t>
  </si>
  <si>
    <t>HCLL25</t>
  </si>
  <si>
    <t>HVCLB</t>
  </si>
  <si>
    <t>HVCLMB</t>
  </si>
  <si>
    <t>HVCLL</t>
  </si>
  <si>
    <t>HCNLB25</t>
  </si>
  <si>
    <t>HCNLMB25</t>
  </si>
  <si>
    <t>HCNLL25</t>
  </si>
  <si>
    <t>HVCAB</t>
  </si>
  <si>
    <t>HVCAMB</t>
  </si>
  <si>
    <t>HVCAL</t>
  </si>
  <si>
    <t>HVCNAB</t>
  </si>
  <si>
    <t>HCSB</t>
  </si>
  <si>
    <t>HCSMB</t>
  </si>
  <si>
    <t>HCSL</t>
  </si>
  <si>
    <t>HCNSB</t>
  </si>
  <si>
    <t>HCNSMB</t>
  </si>
  <si>
    <t>HCNSL</t>
  </si>
  <si>
    <t>art. PR20 BASE</t>
  </si>
  <si>
    <t>art. PR30 BASE</t>
  </si>
  <si>
    <t>art. 1933 BASE</t>
  </si>
  <si>
    <t>art. 1934 BASE</t>
  </si>
  <si>
    <t>art. AN008 BASE</t>
  </si>
  <si>
    <t>art. 3301 BASE</t>
  </si>
  <si>
    <t>art. AX24 BASE</t>
  </si>
  <si>
    <t>art. 2020 BASE</t>
  </si>
  <si>
    <t>BASI</t>
  </si>
  <si>
    <t>+SP.3</t>
  </si>
  <si>
    <t>HVCNLB</t>
  </si>
  <si>
    <t>HVCNLMB</t>
  </si>
  <si>
    <t>HBN0</t>
  </si>
  <si>
    <t>HBN3</t>
  </si>
  <si>
    <t>HBN5</t>
  </si>
  <si>
    <t>SPESSORE DA 3mm</t>
  </si>
  <si>
    <t>HADB3</t>
  </si>
  <si>
    <t>DS20, NICHELATE</t>
  </si>
  <si>
    <t>DS30, NICHELATE</t>
  </si>
  <si>
    <t>DS30, NICHELATE NERE</t>
  </si>
  <si>
    <t>DS20N</t>
  </si>
  <si>
    <t>DS20NN</t>
  </si>
  <si>
    <t>DS30N</t>
  </si>
  <si>
    <t>DS30NN</t>
  </si>
  <si>
    <t>DS20, NICHELATE NERE</t>
  </si>
  <si>
    <t>DS30SF</t>
  </si>
  <si>
    <t>SUPPORTI</t>
  </si>
  <si>
    <t>DS20SFN</t>
  </si>
  <si>
    <t>DS20SFNN</t>
  </si>
  <si>
    <t>SUPPORTI NICHELATI</t>
  </si>
  <si>
    <t>SUPP. NICHELATI NERI</t>
  </si>
  <si>
    <t>CAD.</t>
  </si>
  <si>
    <t>COPPIA</t>
  </si>
  <si>
    <t>SUP.DS20</t>
  </si>
  <si>
    <t>maniglia AX24</t>
  </si>
  <si>
    <t xml:space="preserve">AX25 maniglia - METAL GREY </t>
  </si>
  <si>
    <t>AX25 maniglia  PEARL BEIGE</t>
  </si>
  <si>
    <t>SE(E(DATI!X2&gt;0;O(DATI!O6&gt;0;DATI!O10&gt;0));"SUPERATO IL LIMITE CONSENTITO DI 2100 mm";SE(E(DATI!X2&gt;0;DATI!$O$22&gt;0);"SUPERATO IL LIMITE CONSENTITO DI 2500 mm";SE(E(DATI!X2&gt;0;DATI!$O$8&gt;0);"SUPERATO IL LIMITE CONSENTITO DI 2800 mm";SE(E(DATI!X2&gt;0;DATI!$O$19&gt;0);"SUPERATO IL LIMITE CONSENTITO DI 2800 mm";SE(O(DATI!I12&gt;0;DATI!I14&gt;0;DATI!I18&gt;0)*E(DATI!X2&gt;0);"SUPERATO IL LIMITE CONSENTITO DI 3000 mm";"")))))</t>
  </si>
  <si>
    <t>VERIFICARE DISPONIBILITA' RESIDUA</t>
  </si>
  <si>
    <r>
      <rPr>
        <b/>
        <sz val="8"/>
        <rFont val="Arial"/>
        <family val="2"/>
      </rPr>
      <t>1934</t>
    </r>
    <r>
      <rPr>
        <sz val="8"/>
        <rFont val="Arial"/>
        <family val="2"/>
      </rPr>
      <t xml:space="preserve"> ALLUMINIO ANODIZZATO e metal grey</t>
    </r>
  </si>
  <si>
    <t>art. 1934METAL GREY</t>
  </si>
  <si>
    <t>ANTE V.16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</si>
</sst>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_-&quot;€&quot;\ * #,##0.00_-;\-&quot;€&quot;\ * #,##0.00_-;_-&quot;€&quot;\ * &quot;-&quot;??_-;_-@_-"/>
    <numFmt numFmtId="166" formatCode="[$€-2]\ #,##0.00;[Red]\-[$€-2]\ #,##0.00"/>
    <numFmt numFmtId="167" formatCode="#,##0.00\ &quot;€&quot;"/>
  </numFmts>
  <fonts count="44"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i/>
      <sz val="13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i/>
      <sz val="12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sz val="8"/>
      <name val="Arial"/>
      <family val="2"/>
    </font>
    <font>
      <b/>
      <i/>
      <sz val="12"/>
      <name val="Arial"/>
      <family val="2"/>
    </font>
    <font>
      <b/>
      <sz val="10"/>
      <color indexed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13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8"/>
      <color rgb="FFFF0000"/>
      <name val="Arial"/>
      <family val="2"/>
    </font>
    <font>
      <b/>
      <sz val="16"/>
      <name val="Arial"/>
      <family val="2"/>
    </font>
    <font>
      <i/>
      <sz val="20"/>
      <name val="Arial"/>
      <family val="2"/>
    </font>
    <font>
      <b/>
      <i/>
      <sz val="14"/>
      <name val="Times New Roman"/>
      <family val="1"/>
    </font>
    <font>
      <sz val="14"/>
      <name val="Times New Roman"/>
      <family val="1"/>
    </font>
    <font>
      <sz val="12"/>
      <name val="ARan"/>
    </font>
    <font>
      <sz val="10.5"/>
      <name val="Arial"/>
      <family val="2"/>
    </font>
    <font>
      <i/>
      <sz val="8"/>
      <name val="Arial"/>
      <family val="2"/>
    </font>
    <font>
      <i/>
      <u/>
      <sz val="12"/>
      <name val="Arial"/>
      <family val="2"/>
    </font>
    <font>
      <i/>
      <sz val="24"/>
      <name val="Arial"/>
      <family val="2"/>
    </font>
    <font>
      <sz val="8"/>
      <name val="Arial"/>
      <family val="2"/>
    </font>
    <font>
      <sz val="16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3"/>
      <name val="Arial"/>
      <family val="2"/>
    </font>
    <font>
      <sz val="14"/>
      <color rgb="FFFFFFFF"/>
      <name val="Arial"/>
      <family val="2"/>
    </font>
    <font>
      <b/>
      <sz val="15"/>
      <color rgb="FFFF0000"/>
      <name val="Times New Roman"/>
      <family val="1"/>
    </font>
    <font>
      <b/>
      <i/>
      <u/>
      <sz val="9"/>
      <name val="Arial"/>
      <family val="2"/>
    </font>
    <font>
      <sz val="20"/>
      <color rgb="FFFF0000"/>
      <name val="Arial"/>
      <family val="2"/>
    </font>
    <font>
      <sz val="6"/>
      <name val="Arial"/>
      <family val="2"/>
    </font>
    <font>
      <i/>
      <sz val="9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556FDD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gradientFill degree="90">
        <stop position="0">
          <color theme="0"/>
        </stop>
        <stop position="0.5">
          <color rgb="FF99FF33"/>
        </stop>
        <stop position="1">
          <color theme="0"/>
        </stop>
      </gradientFill>
    </fill>
    <fill>
      <patternFill patternType="solid">
        <fgColor rgb="FFFFFFFF"/>
        <bgColor indexed="64"/>
      </patternFill>
    </fill>
    <fill>
      <gradientFill degree="90">
        <stop position="0">
          <color rgb="FF99FF33"/>
        </stop>
        <stop position="1">
          <color rgb="FFFFFFFF"/>
        </stop>
      </gradientFill>
    </fill>
    <fill>
      <patternFill patternType="solid">
        <fgColor rgb="FFC0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7030A0"/>
        <bgColor indexed="64"/>
      </patternFill>
    </fill>
    <fill>
      <gradientFill>
        <stop position="0">
          <color theme="0"/>
        </stop>
        <stop position="1">
          <color theme="2" tint="-0.25098422193060094"/>
        </stop>
      </gradientFill>
    </fill>
  </fills>
  <borders count="1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theme="0" tint="-0.499984740745262"/>
      </right>
      <top style="thin">
        <color indexed="64"/>
      </top>
      <bottom/>
      <diagonal/>
    </border>
    <border>
      <left/>
      <right style="thin">
        <color theme="0" tint="-0.499984740745262"/>
      </right>
      <top/>
      <bottom style="hair">
        <color indexed="64"/>
      </bottom>
      <diagonal/>
    </border>
    <border>
      <left style="thin">
        <color theme="0" tint="-0.499984740745262"/>
      </left>
      <right/>
      <top style="thin">
        <color indexed="64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hair">
        <color indexed="64"/>
      </bottom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/>
      <bottom/>
      <diagonal/>
    </border>
    <border>
      <left style="thin">
        <color indexed="64"/>
      </left>
      <right style="thin">
        <color theme="0" tint="-0.499984740745262"/>
      </right>
      <top/>
      <bottom style="hair">
        <color indexed="64"/>
      </bottom>
      <diagonal/>
    </border>
    <border>
      <left style="thin">
        <color indexed="64"/>
      </left>
      <right style="thin">
        <color theme="0" tint="-0.499984740745262"/>
      </right>
      <top style="hair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/>
      <bottom/>
      <diagonal/>
    </border>
    <border>
      <left style="thin">
        <color theme="0" tint="-0.49998474074526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theme="0" tint="-0.499984740745262"/>
      </bottom>
      <diagonal/>
    </border>
    <border>
      <left/>
      <right style="thin">
        <color theme="0" tint="-0.499984740745262"/>
      </right>
      <top/>
      <bottom style="dashed">
        <color theme="0" tint="-0.499984740745262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indexed="64"/>
      </left>
      <right/>
      <top style="dashed">
        <color theme="0" tint="-0.499984740745262"/>
      </top>
      <bottom/>
      <diagonal/>
    </border>
    <border>
      <left/>
      <right style="thin">
        <color theme="0" tint="-0.499984740745262"/>
      </right>
      <top style="dashed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dashed">
        <color theme="0" tint="-0.499984740745262"/>
      </bottom>
      <diagonal/>
    </border>
    <border>
      <left style="thin">
        <color indexed="64"/>
      </left>
      <right style="thin">
        <color indexed="64"/>
      </right>
      <top style="dashed">
        <color theme="0" tint="-0.499984740745262"/>
      </top>
      <bottom/>
      <diagonal/>
    </border>
    <border>
      <left/>
      <right style="thin">
        <color indexed="64"/>
      </right>
      <top style="dashed">
        <color theme="0" tint="-0.499984740745262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/>
      <top style="thin">
        <color indexed="64"/>
      </top>
      <bottom style="thin">
        <color theme="0" tint="-0.249977111117893"/>
      </bottom>
      <diagonal/>
    </border>
    <border>
      <left/>
      <right/>
      <top style="thin">
        <color indexed="64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indexed="64"/>
      </top>
      <bottom/>
      <diagonal/>
    </border>
    <border>
      <left/>
      <right style="thin">
        <color theme="0" tint="-0.249977111117893"/>
      </right>
      <top style="thin">
        <color indexed="64"/>
      </top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790">
    <xf numFmtId="0" fontId="0" fillId="0" borderId="0" xfId="0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4" fillId="0" borderId="0" xfId="0" applyFont="1"/>
    <xf numFmtId="0" fontId="8" fillId="0" borderId="0" xfId="0" applyFont="1"/>
    <xf numFmtId="0" fontId="0" fillId="3" borderId="0" xfId="0" applyFill="1"/>
    <xf numFmtId="0" fontId="8" fillId="3" borderId="22" xfId="0" applyFont="1" applyFill="1" applyBorder="1" applyAlignment="1">
      <alignment horizontal="right"/>
    </xf>
    <xf numFmtId="0" fontId="1" fillId="3" borderId="0" xfId="0" applyFont="1" applyFill="1" applyAlignment="1">
      <alignment horizontal="right"/>
    </xf>
    <xf numFmtId="0" fontId="1" fillId="3" borderId="0" xfId="0" applyFont="1" applyFill="1" applyAlignment="1">
      <alignment horizontal="center"/>
    </xf>
    <xf numFmtId="0" fontId="8" fillId="3" borderId="7" xfId="0" applyFont="1" applyFill="1" applyBorder="1" applyAlignment="1">
      <alignment horizontal="right"/>
    </xf>
    <xf numFmtId="0" fontId="8" fillId="3" borderId="0" xfId="0" applyFont="1" applyFill="1"/>
    <xf numFmtId="0" fontId="11" fillId="0" borderId="0" xfId="0" applyFont="1" applyAlignment="1">
      <alignment horizontal="center" vertical="center"/>
    </xf>
    <xf numFmtId="0" fontId="8" fillId="3" borderId="22" xfId="0" applyFont="1" applyFill="1" applyBorder="1" applyAlignment="1">
      <alignment horizontal="right" wrapText="1"/>
    </xf>
    <xf numFmtId="0" fontId="0" fillId="2" borderId="0" xfId="0" applyFill="1"/>
    <xf numFmtId="0" fontId="5" fillId="2" borderId="0" xfId="0" applyFont="1" applyFill="1"/>
    <xf numFmtId="0" fontId="0" fillId="2" borderId="0" xfId="0" applyFill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12" fillId="10" borderId="36" xfId="0" applyFont="1" applyFill="1" applyBorder="1" applyAlignment="1">
      <alignment horizontal="left" vertical="center"/>
    </xf>
    <xf numFmtId="0" fontId="12" fillId="2" borderId="22" xfId="0" applyFont="1" applyFill="1" applyBorder="1" applyAlignment="1">
      <alignment vertical="top" wrapText="1"/>
    </xf>
    <xf numFmtId="0" fontId="0" fillId="0" borderId="27" xfId="0" applyBorder="1"/>
    <xf numFmtId="0" fontId="1" fillId="10" borderId="37" xfId="0" applyFont="1" applyFill="1" applyBorder="1"/>
    <xf numFmtId="0" fontId="8" fillId="10" borderId="31" xfId="0" applyFont="1" applyFill="1" applyBorder="1" applyAlignment="1">
      <alignment horizontal="center" vertical="center"/>
    </xf>
    <xf numFmtId="0" fontId="0" fillId="0" borderId="35" xfId="0" applyBorder="1"/>
    <xf numFmtId="0" fontId="5" fillId="10" borderId="0" xfId="0" applyFont="1" applyFill="1"/>
    <xf numFmtId="0" fontId="0" fillId="10" borderId="38" xfId="0" applyFill="1" applyBorder="1"/>
    <xf numFmtId="0" fontId="12" fillId="2" borderId="7" xfId="0" applyFont="1" applyFill="1" applyBorder="1" applyAlignment="1">
      <alignment vertical="top" wrapText="1"/>
    </xf>
    <xf numFmtId="0" fontId="12" fillId="0" borderId="7" xfId="0" applyFont="1" applyBorder="1" applyAlignment="1">
      <alignment vertical="top" wrapText="1"/>
    </xf>
    <xf numFmtId="0" fontId="4" fillId="10" borderId="36" xfId="0" applyFont="1" applyFill="1" applyBorder="1" applyAlignment="1">
      <alignment horizontal="left" vertical="center"/>
    </xf>
    <xf numFmtId="0" fontId="0" fillId="0" borderId="7" xfId="0" applyBorder="1"/>
    <xf numFmtId="0" fontId="12" fillId="10" borderId="49" xfId="0" applyFont="1" applyFill="1" applyBorder="1" applyAlignment="1">
      <alignment horizontal="left" vertical="center"/>
    </xf>
    <xf numFmtId="0" fontId="12" fillId="10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/>
    <xf numFmtId="0" fontId="0" fillId="0" borderId="13" xfId="0" applyBorder="1"/>
    <xf numFmtId="0" fontId="0" fillId="0" borderId="10" xfId="0" applyBorder="1"/>
    <xf numFmtId="0" fontId="7" fillId="0" borderId="7" xfId="0" applyFont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10" fillId="0" borderId="7" xfId="0" applyFont="1" applyBorder="1" applyAlignment="1">
      <alignment horizontal="right" vertical="center"/>
    </xf>
    <xf numFmtId="0" fontId="19" fillId="0" borderId="0" xfId="0" applyFont="1"/>
    <xf numFmtId="0" fontId="6" fillId="0" borderId="10" xfId="0" applyFont="1" applyBorder="1" applyAlignment="1">
      <alignment horizontal="left"/>
    </xf>
    <xf numFmtId="0" fontId="1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vertical="center"/>
    </xf>
    <xf numFmtId="0" fontId="7" fillId="2" borderId="0" xfId="0" applyFont="1" applyFill="1" applyAlignment="1">
      <alignment vertical="top" wrapText="1"/>
    </xf>
    <xf numFmtId="0" fontId="10" fillId="0" borderId="26" xfId="0" applyFont="1" applyBorder="1" applyAlignment="1">
      <alignment horizontal="center" vertical="center"/>
    </xf>
    <xf numFmtId="0" fontId="1" fillId="10" borderId="13" xfId="0" applyFont="1" applyFill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8" fillId="8" borderId="0" xfId="0" applyFont="1" applyFill="1" applyAlignment="1">
      <alignment horizontal="left"/>
    </xf>
    <xf numFmtId="2" fontId="8" fillId="7" borderId="0" xfId="0" applyNumberFormat="1" applyFont="1" applyFill="1" applyAlignment="1">
      <alignment horizontal="center" vertical="center"/>
    </xf>
    <xf numFmtId="2" fontId="8" fillId="7" borderId="7" xfId="0" applyNumberFormat="1" applyFont="1" applyFill="1" applyBorder="1" applyAlignment="1">
      <alignment horizontal="center" vertical="center"/>
    </xf>
    <xf numFmtId="2" fontId="8" fillId="7" borderId="7" xfId="0" applyNumberFormat="1" applyFont="1" applyFill="1" applyBorder="1"/>
    <xf numFmtId="0" fontId="1" fillId="0" borderId="0" xfId="0" applyFont="1" applyAlignment="1">
      <alignment horizontal="center" vertical="center"/>
    </xf>
    <xf numFmtId="0" fontId="8" fillId="8" borderId="7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2" fontId="8" fillId="7" borderId="7" xfId="0" applyNumberFormat="1" applyFont="1" applyFill="1" applyBorder="1" applyAlignment="1">
      <alignment horizontal="center"/>
    </xf>
    <xf numFmtId="164" fontId="14" fillId="0" borderId="0" xfId="0" applyNumberFormat="1" applyFont="1"/>
    <xf numFmtId="0" fontId="8" fillId="8" borderId="0" xfId="0" applyFont="1" applyFill="1" applyAlignment="1">
      <alignment horizontal="right"/>
    </xf>
    <xf numFmtId="2" fontId="8" fillId="0" borderId="0" xfId="0" applyNumberFormat="1" applyFont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2" fontId="0" fillId="0" borderId="7" xfId="0" applyNumberFormat="1" applyBorder="1"/>
    <xf numFmtId="0" fontId="0" fillId="18" borderId="0" xfId="0" applyFill="1"/>
    <xf numFmtId="0" fontId="2" fillId="18" borderId="0" xfId="0" applyFont="1" applyFill="1"/>
    <xf numFmtId="0" fontId="0" fillId="0" borderId="0" xfId="0" applyAlignment="1">
      <alignment horizontal="center" vertical="center"/>
    </xf>
    <xf numFmtId="0" fontId="8" fillId="8" borderId="10" xfId="0" applyFont="1" applyFill="1" applyBorder="1"/>
    <xf numFmtId="0" fontId="14" fillId="8" borderId="10" xfId="0" applyFont="1" applyFill="1" applyBorder="1" applyAlignment="1">
      <alignment horizontal="center"/>
    </xf>
    <xf numFmtId="2" fontId="0" fillId="0" borderId="10" xfId="0" applyNumberFormat="1" applyBorder="1"/>
    <xf numFmtId="0" fontId="1" fillId="8" borderId="56" xfId="0" applyFont="1" applyFill="1" applyBorder="1" applyAlignment="1">
      <alignment horizontal="center" vertical="center"/>
    </xf>
    <xf numFmtId="0" fontId="1" fillId="8" borderId="36" xfId="0" applyFont="1" applyFill="1" applyBorder="1" applyAlignment="1">
      <alignment horizontal="center" vertical="center"/>
    </xf>
    <xf numFmtId="0" fontId="1" fillId="8" borderId="57" xfId="0" applyFont="1" applyFill="1" applyBorder="1" applyAlignment="1">
      <alignment horizontal="center" vertical="center"/>
    </xf>
    <xf numFmtId="0" fontId="1" fillId="8" borderId="61" xfId="0" applyFont="1" applyFill="1" applyBorder="1" applyAlignment="1">
      <alignment horizontal="center" vertical="center"/>
    </xf>
    <xf numFmtId="0" fontId="4" fillId="10" borderId="0" xfId="0" applyFont="1" applyFill="1" applyAlignment="1">
      <alignment horizontal="center" vertical="center"/>
    </xf>
    <xf numFmtId="0" fontId="10" fillId="0" borderId="0" xfId="0" applyFont="1" applyAlignment="1">
      <alignment vertical="top" textRotation="180"/>
    </xf>
    <xf numFmtId="0" fontId="1" fillId="8" borderId="0" xfId="0" applyFont="1" applyFill="1" applyAlignment="1">
      <alignment vertical="center"/>
    </xf>
    <xf numFmtId="0" fontId="1" fillId="8" borderId="7" xfId="0" applyFont="1" applyFill="1" applyBorder="1" applyAlignment="1">
      <alignment vertical="center"/>
    </xf>
    <xf numFmtId="0" fontId="1" fillId="10" borderId="13" xfId="0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8" fillId="8" borderId="0" xfId="0" applyFont="1" applyFill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5" fillId="8" borderId="0" xfId="0" applyFont="1" applyFill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8" fillId="8" borderId="0" xfId="0" applyFont="1" applyFill="1" applyAlignment="1">
      <alignment vertical="center"/>
    </xf>
    <xf numFmtId="0" fontId="5" fillId="8" borderId="60" xfId="0" applyFont="1" applyFill="1" applyBorder="1" applyAlignment="1">
      <alignment vertical="center"/>
    </xf>
    <xf numFmtId="0" fontId="15" fillId="8" borderId="62" xfId="0" applyFont="1" applyFill="1" applyBorder="1" applyAlignment="1">
      <alignment horizontal="center" vertical="center"/>
    </xf>
    <xf numFmtId="0" fontId="1" fillId="8" borderId="63" xfId="0" applyFont="1" applyFill="1" applyBorder="1" applyAlignment="1">
      <alignment horizontal="center" vertical="center"/>
    </xf>
    <xf numFmtId="0" fontId="8" fillId="8" borderId="62" xfId="0" applyFont="1" applyFill="1" applyBorder="1" applyAlignment="1">
      <alignment horizontal="center" vertical="center"/>
    </xf>
    <xf numFmtId="0" fontId="8" fillId="8" borderId="54" xfId="0" applyFont="1" applyFill="1" applyBorder="1" applyAlignment="1">
      <alignment horizontal="center" vertical="center"/>
    </xf>
    <xf numFmtId="0" fontId="8" fillId="8" borderId="35" xfId="0" applyFont="1" applyFill="1" applyBorder="1" applyAlignment="1">
      <alignment vertical="center"/>
    </xf>
    <xf numFmtId="0" fontId="8" fillId="8" borderId="38" xfId="0" applyFont="1" applyFill="1" applyBorder="1" applyAlignment="1">
      <alignment horizontal="right"/>
    </xf>
    <xf numFmtId="0" fontId="8" fillId="8" borderId="30" xfId="0" applyFont="1" applyFill="1" applyBorder="1" applyAlignment="1">
      <alignment vertical="center"/>
    </xf>
    <xf numFmtId="0" fontId="0" fillId="0" borderId="38" xfId="0" applyBorder="1"/>
    <xf numFmtId="0" fontId="8" fillId="8" borderId="35" xfId="0" applyFont="1" applyFill="1" applyBorder="1" applyAlignment="1">
      <alignment horizontal="center" vertical="center"/>
    </xf>
    <xf numFmtId="0" fontId="1" fillId="8" borderId="30" xfId="0" applyFont="1" applyFill="1" applyBorder="1" applyAlignment="1">
      <alignment horizontal="center" vertical="center"/>
    </xf>
    <xf numFmtId="0" fontId="0" fillId="0" borderId="28" xfId="0" applyBorder="1"/>
    <xf numFmtId="0" fontId="1" fillId="8" borderId="38" xfId="0" applyFont="1" applyFill="1" applyBorder="1" applyAlignment="1">
      <alignment horizontal="center" vertical="center"/>
    </xf>
    <xf numFmtId="0" fontId="0" fillId="10" borderId="35" xfId="0" applyFill="1" applyBorder="1" applyAlignment="1">
      <alignment horizontal="center" vertical="center"/>
    </xf>
    <xf numFmtId="0" fontId="8" fillId="8" borderId="29" xfId="0" applyFont="1" applyFill="1" applyBorder="1" applyAlignment="1">
      <alignment vertical="center"/>
    </xf>
    <xf numFmtId="0" fontId="15" fillId="8" borderId="35" xfId="0" applyFont="1" applyFill="1" applyBorder="1" applyAlignment="1">
      <alignment horizontal="center" vertical="center"/>
    </xf>
    <xf numFmtId="0" fontId="8" fillId="7" borderId="38" xfId="0" applyFont="1" applyFill="1" applyBorder="1" applyAlignment="1">
      <alignment horizontal="center" vertical="center"/>
    </xf>
    <xf numFmtId="0" fontId="1" fillId="8" borderId="22" xfId="0" applyFont="1" applyFill="1" applyBorder="1" applyAlignment="1">
      <alignment vertical="center"/>
    </xf>
    <xf numFmtId="0" fontId="1" fillId="8" borderId="1" xfId="0" applyFont="1" applyFill="1" applyBorder="1" applyAlignment="1">
      <alignment vertical="center"/>
    </xf>
    <xf numFmtId="0" fontId="1" fillId="8" borderId="63" xfId="0" applyFont="1" applyFill="1" applyBorder="1" applyAlignment="1">
      <alignment vertical="center"/>
    </xf>
    <xf numFmtId="0" fontId="1" fillId="8" borderId="65" xfId="0" applyFont="1" applyFill="1" applyBorder="1" applyAlignment="1">
      <alignment vertical="center"/>
    </xf>
    <xf numFmtId="0" fontId="1" fillId="8" borderId="24" xfId="0" applyFont="1" applyFill="1" applyBorder="1" applyAlignment="1">
      <alignment vertical="center"/>
    </xf>
    <xf numFmtId="0" fontId="1" fillId="8" borderId="25" xfId="0" applyFont="1" applyFill="1" applyBorder="1" applyAlignment="1">
      <alignment vertical="center"/>
    </xf>
    <xf numFmtId="0" fontId="0" fillId="0" borderId="0" xfId="0" applyAlignment="1">
      <alignment horizontal="center"/>
    </xf>
    <xf numFmtId="164" fontId="14" fillId="9" borderId="0" xfId="0" applyNumberFormat="1" applyFont="1" applyFill="1"/>
    <xf numFmtId="165" fontId="8" fillId="0" borderId="0" xfId="1" applyFont="1"/>
    <xf numFmtId="0" fontId="1" fillId="0" borderId="0" xfId="0" quotePrefix="1" applyFont="1"/>
    <xf numFmtId="166" fontId="0" fillId="0" borderId="0" xfId="0" applyNumberFormat="1"/>
    <xf numFmtId="0" fontId="0" fillId="0" borderId="0" xfId="0" quotePrefix="1"/>
    <xf numFmtId="0" fontId="8" fillId="0" borderId="0" xfId="0" applyFont="1" applyAlignment="1">
      <alignment horizontal="center"/>
    </xf>
    <xf numFmtId="0" fontId="12" fillId="4" borderId="27" xfId="0" applyFont="1" applyFill="1" applyBorder="1" applyAlignment="1">
      <alignment horizontal="right" vertical="top" wrapText="1"/>
    </xf>
    <xf numFmtId="0" fontId="4" fillId="0" borderId="9" xfId="0" applyFont="1" applyBorder="1"/>
    <xf numFmtId="0" fontId="0" fillId="0" borderId="8" xfId="0" applyBorder="1"/>
    <xf numFmtId="0" fontId="0" fillId="0" borderId="26" xfId="0" applyBorder="1"/>
    <xf numFmtId="0" fontId="12" fillId="10" borderId="26" xfId="0" applyFont="1" applyFill="1" applyBorder="1" applyAlignment="1">
      <alignment horizontal="left" vertical="center"/>
    </xf>
    <xf numFmtId="2" fontId="0" fillId="0" borderId="0" xfId="0" applyNumberFormat="1" applyAlignment="1">
      <alignment horizontal="center" vertical="center"/>
    </xf>
    <xf numFmtId="2" fontId="19" fillId="0" borderId="0" xfId="0" applyNumberFormat="1" applyFont="1"/>
    <xf numFmtId="2" fontId="0" fillId="0" borderId="0" xfId="0" applyNumberFormat="1"/>
    <xf numFmtId="0" fontId="0" fillId="0" borderId="68" xfId="0" applyBorder="1"/>
    <xf numFmtId="0" fontId="24" fillId="0" borderId="69" xfId="0" applyFont="1" applyBorder="1"/>
    <xf numFmtId="0" fontId="24" fillId="0" borderId="55" xfId="0" applyFont="1" applyBorder="1"/>
    <xf numFmtId="0" fontId="24" fillId="0" borderId="31" xfId="0" applyFont="1" applyBorder="1"/>
    <xf numFmtId="0" fontId="24" fillId="0" borderId="70" xfId="0" applyFont="1" applyBorder="1"/>
    <xf numFmtId="0" fontId="1" fillId="8" borderId="72" xfId="0" applyFont="1" applyFill="1" applyBorder="1" applyAlignment="1">
      <alignment vertical="center"/>
    </xf>
    <xf numFmtId="0" fontId="1" fillId="8" borderId="73" xfId="0" applyFont="1" applyFill="1" applyBorder="1" applyAlignment="1">
      <alignment horizontal="center" vertical="center"/>
    </xf>
    <xf numFmtId="0" fontId="1" fillId="8" borderId="72" xfId="0" applyFont="1" applyFill="1" applyBorder="1" applyAlignment="1">
      <alignment horizontal="center" vertical="center"/>
    </xf>
    <xf numFmtId="167" fontId="1" fillId="8" borderId="0" xfId="0" applyNumberFormat="1" applyFont="1" applyFill="1" applyAlignment="1">
      <alignment vertical="center"/>
    </xf>
    <xf numFmtId="167" fontId="1" fillId="8" borderId="34" xfId="0" applyNumberFormat="1" applyFont="1" applyFill="1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15" fillId="8" borderId="72" xfId="0" applyFont="1" applyFill="1" applyBorder="1" applyAlignment="1">
      <alignment horizontal="center" vertical="center"/>
    </xf>
    <xf numFmtId="0" fontId="15" fillId="8" borderId="73" xfId="0" applyFont="1" applyFill="1" applyBorder="1" applyAlignment="1">
      <alignment horizontal="center" vertical="center"/>
    </xf>
    <xf numFmtId="0" fontId="8" fillId="8" borderId="73" xfId="0" applyFont="1" applyFill="1" applyBorder="1" applyAlignment="1">
      <alignment horizontal="center" vertical="center"/>
    </xf>
    <xf numFmtId="0" fontId="8" fillId="8" borderId="74" xfId="0" applyFont="1" applyFill="1" applyBorder="1" applyAlignment="1">
      <alignment horizontal="center" vertical="center"/>
    </xf>
    <xf numFmtId="167" fontId="1" fillId="8" borderId="40" xfId="0" applyNumberFormat="1" applyFont="1" applyFill="1" applyBorder="1" applyAlignment="1">
      <alignment horizontal="center" vertical="center"/>
    </xf>
    <xf numFmtId="0" fontId="1" fillId="8" borderId="50" xfId="0" applyFont="1" applyFill="1" applyBorder="1" applyAlignment="1">
      <alignment horizontal="center" vertical="center"/>
    </xf>
    <xf numFmtId="0" fontId="1" fillId="8" borderId="35" xfId="0" applyFont="1" applyFill="1" applyBorder="1" applyAlignment="1">
      <alignment horizontal="center" vertical="center"/>
    </xf>
    <xf numFmtId="0" fontId="1" fillId="8" borderId="22" xfId="0" applyFont="1" applyFill="1" applyBorder="1" applyAlignment="1">
      <alignment horizontal="center" vertical="center"/>
    </xf>
    <xf numFmtId="0" fontId="1" fillId="8" borderId="65" xfId="0" applyFont="1" applyFill="1" applyBorder="1" applyAlignment="1">
      <alignment horizontal="center" vertical="center"/>
    </xf>
    <xf numFmtId="0" fontId="12" fillId="10" borderId="14" xfId="0" applyFont="1" applyFill="1" applyBorder="1" applyAlignment="1">
      <alignment horizontal="center" vertical="center" wrapText="1"/>
    </xf>
    <xf numFmtId="0" fontId="0" fillId="10" borderId="28" xfId="0" applyFill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8" fillId="8" borderId="0" xfId="0" applyFont="1" applyFill="1" applyAlignment="1">
      <alignment horizontal="left" vertical="center"/>
    </xf>
    <xf numFmtId="0" fontId="12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27" fillId="0" borderId="0" xfId="0" applyFont="1" applyAlignment="1">
      <alignment vertical="center"/>
    </xf>
    <xf numFmtId="0" fontId="17" fillId="0" borderId="0" xfId="0" applyFont="1" applyAlignment="1">
      <alignment horizontal="left" vertical="top" wrapText="1"/>
    </xf>
    <xf numFmtId="0" fontId="0" fillId="0" borderId="0" xfId="0" applyAlignment="1">
      <alignment horizontal="left"/>
    </xf>
    <xf numFmtId="0" fontId="12" fillId="0" borderId="0" xfId="0" applyFont="1" applyAlignment="1">
      <alignment horizontal="left" vertical="top" wrapText="1"/>
    </xf>
    <xf numFmtId="0" fontId="4" fillId="0" borderId="0" xfId="0" applyFont="1" applyAlignment="1">
      <alignment horizontal="left"/>
    </xf>
    <xf numFmtId="0" fontId="12" fillId="2" borderId="0" xfId="0" applyFont="1" applyFill="1" applyAlignment="1">
      <alignment vertical="top" wrapText="1"/>
    </xf>
    <xf numFmtId="0" fontId="1" fillId="0" borderId="7" xfId="0" applyFont="1" applyBorder="1"/>
    <xf numFmtId="0" fontId="1" fillId="2" borderId="7" xfId="0" applyFont="1" applyFill="1" applyBorder="1" applyAlignment="1">
      <alignment vertical="top" wrapText="1"/>
    </xf>
    <xf numFmtId="0" fontId="12" fillId="2" borderId="7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wrapText="1"/>
    </xf>
    <xf numFmtId="0" fontId="12" fillId="0" borderId="7" xfId="0" applyFont="1" applyBorder="1" applyAlignment="1">
      <alignment horizontal="center" vertical="center" wrapText="1"/>
    </xf>
    <xf numFmtId="0" fontId="0" fillId="0" borderId="6" xfId="0" applyBorder="1"/>
    <xf numFmtId="0" fontId="0" fillId="0" borderId="15" xfId="0" applyBorder="1"/>
    <xf numFmtId="0" fontId="0" fillId="0" borderId="4" xfId="0" applyBorder="1"/>
    <xf numFmtId="0" fontId="1" fillId="0" borderId="8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27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17" fillId="0" borderId="0" xfId="0" applyFont="1" applyAlignment="1">
      <alignment horizontal="right" vertical="top" wrapText="1"/>
    </xf>
    <xf numFmtId="0" fontId="0" fillId="0" borderId="0" xfId="0" applyAlignment="1">
      <alignment horizontal="right"/>
    </xf>
    <xf numFmtId="0" fontId="26" fillId="0" borderId="0" xfId="0" applyFont="1" applyAlignment="1">
      <alignment horizontal="right" vertical="center"/>
    </xf>
    <xf numFmtId="0" fontId="11" fillId="0" borderId="0" xfId="0" applyFont="1" applyAlignment="1">
      <alignment horizontal="center"/>
    </xf>
    <xf numFmtId="0" fontId="11" fillId="0" borderId="7" xfId="0" applyFont="1" applyBorder="1" applyAlignment="1">
      <alignment horizontal="center"/>
    </xf>
    <xf numFmtId="0" fontId="1" fillId="3" borderId="0" xfId="0" applyFont="1" applyFill="1"/>
    <xf numFmtId="167" fontId="0" fillId="0" borderId="7" xfId="0" applyNumberFormat="1" applyBorder="1" applyAlignment="1">
      <alignment horizontal="center" vertical="center"/>
    </xf>
    <xf numFmtId="167" fontId="0" fillId="0" borderId="0" xfId="0" applyNumberFormat="1" applyAlignment="1">
      <alignment horizontal="left"/>
    </xf>
    <xf numFmtId="0" fontId="0" fillId="0" borderId="0" xfId="0" applyAlignment="1">
      <alignment vertical="center"/>
    </xf>
    <xf numFmtId="0" fontId="0" fillId="0" borderId="3" xfId="0" applyBorder="1" applyAlignment="1">
      <alignment horizontal="center"/>
    </xf>
    <xf numFmtId="0" fontId="1" fillId="0" borderId="0" xfId="0" applyFont="1" applyAlignment="1" applyProtection="1">
      <alignment horizontal="center" vertical="center"/>
      <protection locked="0"/>
    </xf>
    <xf numFmtId="0" fontId="18" fillId="0" borderId="0" xfId="0" applyFont="1"/>
    <xf numFmtId="0" fontId="18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12" fillId="0" borderId="79" xfId="0" applyFont="1" applyBorder="1" applyAlignment="1">
      <alignment vertical="center" wrapText="1"/>
    </xf>
    <xf numFmtId="0" fontId="12" fillId="0" borderId="88" xfId="0" applyFont="1" applyBorder="1" applyAlignment="1">
      <alignment vertical="center" wrapText="1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12" fillId="0" borderId="22" xfId="0" applyFont="1" applyBorder="1" applyAlignment="1">
      <alignment horizontal="center" vertical="center" wrapText="1"/>
    </xf>
    <xf numFmtId="167" fontId="0" fillId="0" borderId="22" xfId="0" applyNumberForma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167" fontId="0" fillId="0" borderId="10" xfId="0" applyNumberFormat="1" applyBorder="1" applyAlignment="1">
      <alignment horizontal="center" vertical="center"/>
    </xf>
    <xf numFmtId="167" fontId="0" fillId="0" borderId="2" xfId="0" applyNumberFormat="1" applyBorder="1" applyAlignment="1">
      <alignment horizontal="center" vertical="center"/>
    </xf>
    <xf numFmtId="167" fontId="0" fillId="0" borderId="7" xfId="0" applyNumberFormat="1" applyBorder="1" applyAlignment="1">
      <alignment horizontal="left"/>
    </xf>
    <xf numFmtId="0" fontId="5" fillId="0" borderId="1" xfId="0" applyFont="1" applyBorder="1" applyAlignment="1">
      <alignment horizontal="center" vertical="top"/>
    </xf>
    <xf numFmtId="0" fontId="4" fillId="0" borderId="43" xfId="0" applyFon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2" fontId="1" fillId="3" borderId="32" xfId="0" applyNumberFormat="1" applyFont="1" applyFill="1" applyBorder="1" applyAlignment="1">
      <alignment horizontal="center"/>
    </xf>
    <xf numFmtId="0" fontId="1" fillId="3" borderId="26" xfId="0" applyFont="1" applyFill="1" applyBorder="1"/>
    <xf numFmtId="0" fontId="0" fillId="3" borderId="0" xfId="0" applyFill="1" applyAlignment="1">
      <alignment horizontal="center"/>
    </xf>
    <xf numFmtId="0" fontId="0" fillId="3" borderId="2" xfId="0" applyFill="1" applyBorder="1"/>
    <xf numFmtId="0" fontId="1" fillId="3" borderId="14" xfId="0" applyFont="1" applyFill="1" applyBorder="1"/>
    <xf numFmtId="0" fontId="0" fillId="3" borderId="14" xfId="0" applyFill="1" applyBorder="1"/>
    <xf numFmtId="0" fontId="2" fillId="4" borderId="23" xfId="0" applyFont="1" applyFill="1" applyBorder="1" applyAlignment="1">
      <alignment horizontal="right"/>
    </xf>
    <xf numFmtId="0" fontId="1" fillId="3" borderId="0" xfId="0" applyFont="1" applyFill="1" applyAlignment="1">
      <alignment horizontal="center" vertical="center"/>
    </xf>
    <xf numFmtId="0" fontId="0" fillId="3" borderId="4" xfId="0" applyFill="1" applyBorder="1"/>
    <xf numFmtId="0" fontId="1" fillId="3" borderId="8" xfId="0" applyFont="1" applyFill="1" applyBorder="1"/>
    <xf numFmtId="0" fontId="1" fillId="3" borderId="7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/>
    </xf>
    <xf numFmtId="0" fontId="0" fillId="3" borderId="8" xfId="0" applyFill="1" applyBorder="1"/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0" fontId="1" fillId="3" borderId="53" xfId="0" quotePrefix="1" applyFont="1" applyFill="1" applyBorder="1" applyAlignment="1">
      <alignment horizontal="center" vertical="center"/>
    </xf>
    <xf numFmtId="0" fontId="0" fillId="3" borderId="5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0" fillId="3" borderId="39" xfId="0" applyFill="1" applyBorder="1"/>
    <xf numFmtId="0" fontId="0" fillId="3" borderId="6" xfId="0" applyFill="1" applyBorder="1"/>
    <xf numFmtId="0" fontId="1" fillId="3" borderId="39" xfId="0" applyFont="1" applyFill="1" applyBorder="1" applyAlignment="1">
      <alignment horizontal="center"/>
    </xf>
    <xf numFmtId="0" fontId="0" fillId="3" borderId="7" xfId="0" applyFill="1" applyBorder="1"/>
    <xf numFmtId="0" fontId="1" fillId="3" borderId="7" xfId="0" applyFont="1" applyFill="1" applyBorder="1"/>
    <xf numFmtId="2" fontId="1" fillId="3" borderId="0" xfId="0" applyNumberFormat="1" applyFont="1" applyFill="1"/>
    <xf numFmtId="2" fontId="0" fillId="3" borderId="2" xfId="0" applyNumberFormat="1" applyFill="1" applyBorder="1" applyAlignment="1">
      <alignment horizontal="center" vertical="center"/>
    </xf>
    <xf numFmtId="0" fontId="1" fillId="3" borderId="3" xfId="0" applyFont="1" applyFill="1" applyBorder="1"/>
    <xf numFmtId="2" fontId="0" fillId="3" borderId="14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1" fillId="3" borderId="6" xfId="0" applyFont="1" applyFill="1" applyBorder="1"/>
    <xf numFmtId="0" fontId="0" fillId="3" borderId="15" xfId="0" applyFill="1" applyBorder="1"/>
    <xf numFmtId="2" fontId="0" fillId="3" borderId="4" xfId="0" applyNumberFormat="1" applyFill="1" applyBorder="1" applyAlignment="1">
      <alignment horizontal="center" vertical="center"/>
    </xf>
    <xf numFmtId="0" fontId="16" fillId="0" borderId="0" xfId="0" applyFont="1"/>
    <xf numFmtId="0" fontId="1" fillId="3" borderId="22" xfId="0" applyFont="1" applyFill="1" applyBorder="1" applyAlignment="1">
      <alignment horizontal="center"/>
    </xf>
    <xf numFmtId="2" fontId="0" fillId="3" borderId="22" xfId="0" applyNumberFormat="1" applyFill="1" applyBorder="1"/>
    <xf numFmtId="2" fontId="18" fillId="0" borderId="0" xfId="0" applyNumberFormat="1" applyFont="1"/>
    <xf numFmtId="0" fontId="1" fillId="0" borderId="92" xfId="0" applyFont="1" applyBorder="1"/>
    <xf numFmtId="1" fontId="18" fillId="0" borderId="92" xfId="0" applyNumberFormat="1" applyFont="1" applyBorder="1" applyAlignment="1">
      <alignment horizontal="center" vertical="center"/>
    </xf>
    <xf numFmtId="0" fontId="15" fillId="0" borderId="92" xfId="0" applyFont="1" applyBorder="1"/>
    <xf numFmtId="0" fontId="15" fillId="0" borderId="0" xfId="0" applyFont="1"/>
    <xf numFmtId="0" fontId="0" fillId="22" borderId="0" xfId="0" applyFill="1"/>
    <xf numFmtId="0" fontId="7" fillId="0" borderId="0" xfId="0" applyFont="1" applyAlignment="1">
      <alignment vertical="center"/>
    </xf>
    <xf numFmtId="0" fontId="11" fillId="0" borderId="75" xfId="0" applyFont="1" applyBorder="1" applyAlignment="1">
      <alignment vertical="center"/>
    </xf>
    <xf numFmtId="0" fontId="0" fillId="3" borderId="10" xfId="0" applyFill="1" applyBorder="1" applyAlignment="1">
      <alignment horizontal="center" vertical="center"/>
    </xf>
    <xf numFmtId="0" fontId="1" fillId="0" borderId="94" xfId="0" applyFont="1" applyBorder="1"/>
    <xf numFmtId="0" fontId="1" fillId="3" borderId="10" xfId="0" applyFont="1" applyFill="1" applyBorder="1"/>
    <xf numFmtId="0" fontId="1" fillId="3" borderId="12" xfId="0" applyFont="1" applyFill="1" applyBorder="1"/>
    <xf numFmtId="0" fontId="0" fillId="3" borderId="26" xfId="0" applyFill="1" applyBorder="1" applyAlignment="1">
      <alignment horizontal="center" vertical="center"/>
    </xf>
    <xf numFmtId="0" fontId="31" fillId="0" borderId="6" xfId="0" applyFont="1" applyBorder="1" applyAlignment="1">
      <alignment horizontal="right"/>
    </xf>
    <xf numFmtId="0" fontId="0" fillId="0" borderId="22" xfId="0" applyBorder="1"/>
    <xf numFmtId="0" fontId="0" fillId="0" borderId="1" xfId="0" applyBorder="1"/>
    <xf numFmtId="14" fontId="4" fillId="0" borderId="0" xfId="0" applyNumberFormat="1" applyFont="1" applyAlignment="1" applyProtection="1">
      <alignment vertical="top"/>
      <protection locked="0"/>
    </xf>
    <xf numFmtId="14" fontId="4" fillId="0" borderId="9" xfId="0" applyNumberFormat="1" applyFont="1" applyBorder="1"/>
    <xf numFmtId="0" fontId="38" fillId="0" borderId="0" xfId="0" applyFont="1" applyAlignment="1">
      <alignment vertical="center"/>
    </xf>
    <xf numFmtId="0" fontId="7" fillId="22" borderId="0" xfId="0" applyFont="1" applyFill="1" applyAlignment="1">
      <alignment horizontal="center" vertical="center"/>
    </xf>
    <xf numFmtId="0" fontId="18" fillId="0" borderId="0" xfId="0" applyFont="1" applyAlignment="1">
      <alignment horizontal="center" wrapText="1"/>
    </xf>
    <xf numFmtId="0" fontId="26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2" fontId="8" fillId="6" borderId="0" xfId="0" applyNumberFormat="1" applyFont="1" applyFill="1" applyAlignment="1">
      <alignment horizontal="center" vertical="center"/>
    </xf>
    <xf numFmtId="0" fontId="12" fillId="6" borderId="22" xfId="0" applyFont="1" applyFill="1" applyBorder="1" applyAlignment="1">
      <alignment vertical="top" wrapText="1"/>
    </xf>
    <xf numFmtId="0" fontId="12" fillId="2" borderId="22" xfId="0" applyFont="1" applyFill="1" applyBorder="1" applyAlignment="1">
      <alignment vertical="center" wrapText="1"/>
    </xf>
    <xf numFmtId="2" fontId="0" fillId="3" borderId="0" xfId="0" applyNumberFormat="1" applyFill="1"/>
    <xf numFmtId="0" fontId="1" fillId="0" borderId="3" xfId="0" applyFont="1" applyBorder="1" applyAlignment="1">
      <alignment horizontal="center" vertical="center"/>
    </xf>
    <xf numFmtId="0" fontId="12" fillId="0" borderId="0" xfId="0" applyFont="1" applyAlignment="1">
      <alignment wrapText="1"/>
    </xf>
    <xf numFmtId="0" fontId="18" fillId="0" borderId="110" xfId="0" applyFont="1" applyBorder="1"/>
    <xf numFmtId="2" fontId="18" fillId="0" borderId="110" xfId="0" applyNumberFormat="1" applyFont="1" applyBorder="1" applyAlignment="1">
      <alignment horizontal="center" vertical="center"/>
    </xf>
    <xf numFmtId="0" fontId="12" fillId="0" borderId="111" xfId="0" applyFont="1" applyBorder="1"/>
    <xf numFmtId="0" fontId="12" fillId="0" borderId="109" xfId="0" applyFont="1" applyBorder="1"/>
    <xf numFmtId="0" fontId="0" fillId="0" borderId="112" xfId="0" applyBorder="1"/>
    <xf numFmtId="0" fontId="0" fillId="0" borderId="72" xfId="0" applyBorder="1"/>
    <xf numFmtId="0" fontId="0" fillId="0" borderId="74" xfId="0" applyBorder="1"/>
    <xf numFmtId="0" fontId="4" fillId="10" borderId="22" xfId="0" applyFont="1" applyFill="1" applyBorder="1" applyAlignment="1">
      <alignment horizontal="left" vertical="center"/>
    </xf>
    <xf numFmtId="0" fontId="12" fillId="0" borderId="22" xfId="0" applyFont="1" applyBorder="1" applyAlignment="1">
      <alignment vertical="top" wrapText="1"/>
    </xf>
    <xf numFmtId="2" fontId="8" fillId="0" borderId="7" xfId="0" applyNumberFormat="1" applyFont="1" applyBorder="1" applyAlignment="1">
      <alignment horizontal="center"/>
    </xf>
    <xf numFmtId="2" fontId="14" fillId="0" borderId="0" xfId="0" applyNumberFormat="1" applyFont="1"/>
    <xf numFmtId="0" fontId="15" fillId="8" borderId="10" xfId="0" applyFont="1" applyFill="1" applyBorder="1" applyAlignment="1">
      <alignment horizontal="center" vertical="center" wrapText="1"/>
    </xf>
    <xf numFmtId="0" fontId="8" fillId="8" borderId="10" xfId="0" applyFont="1" applyFill="1" applyBorder="1" applyAlignment="1">
      <alignment horizontal="center" vertical="center"/>
    </xf>
    <xf numFmtId="2" fontId="8" fillId="7" borderId="12" xfId="0" applyNumberFormat="1" applyFont="1" applyFill="1" applyBorder="1"/>
    <xf numFmtId="2" fontId="8" fillId="7" borderId="12" xfId="0" applyNumberFormat="1" applyFont="1" applyFill="1" applyBorder="1" applyAlignment="1">
      <alignment horizontal="center"/>
    </xf>
    <xf numFmtId="2" fontId="8" fillId="7" borderId="55" xfId="0" applyNumberFormat="1" applyFont="1" applyFill="1" applyBorder="1"/>
    <xf numFmtId="2" fontId="8" fillId="0" borderId="37" xfId="0" applyNumberFormat="1" applyFont="1" applyBorder="1" applyAlignment="1">
      <alignment horizontal="center"/>
    </xf>
    <xf numFmtId="2" fontId="8" fillId="0" borderId="29" xfId="0" applyNumberFormat="1" applyFont="1" applyBorder="1" applyAlignment="1">
      <alignment horizontal="center" vertical="center"/>
    </xf>
    <xf numFmtId="2" fontId="8" fillId="7" borderId="56" xfId="0" applyNumberFormat="1" applyFont="1" applyFill="1" applyBorder="1"/>
    <xf numFmtId="2" fontId="8" fillId="0" borderId="38" xfId="0" applyNumberFormat="1" applyFont="1" applyBorder="1" applyAlignment="1">
      <alignment horizontal="center" vertical="center"/>
    </xf>
    <xf numFmtId="2" fontId="8" fillId="7" borderId="57" xfId="0" applyNumberFormat="1" applyFont="1" applyFill="1" applyBorder="1"/>
    <xf numFmtId="2" fontId="8" fillId="7" borderId="58" xfId="0" applyNumberFormat="1" applyFont="1" applyFill="1" applyBorder="1" applyAlignment="1">
      <alignment horizontal="center"/>
    </xf>
    <xf numFmtId="2" fontId="8" fillId="0" borderId="30" xfId="0" applyNumberFormat="1" applyFont="1" applyBorder="1" applyAlignment="1">
      <alignment horizontal="center" vertical="center"/>
    </xf>
    <xf numFmtId="2" fontId="8" fillId="7" borderId="10" xfId="0" applyNumberFormat="1" applyFont="1" applyFill="1" applyBorder="1"/>
    <xf numFmtId="2" fontId="8" fillId="7" borderId="10" xfId="0" applyNumberFormat="1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 wrapText="1"/>
    </xf>
    <xf numFmtId="0" fontId="1" fillId="6" borderId="7" xfId="0" applyFont="1" applyFill="1" applyBorder="1"/>
    <xf numFmtId="0" fontId="1" fillId="0" borderId="0" xfId="0" applyFont="1" applyAlignment="1" applyProtection="1">
      <alignment vertical="center"/>
      <protection locked="0"/>
    </xf>
    <xf numFmtId="2" fontId="8" fillId="7" borderId="22" xfId="0" applyNumberFormat="1" applyFont="1" applyFill="1" applyBorder="1" applyAlignment="1">
      <alignment horizontal="center"/>
    </xf>
    <xf numFmtId="2" fontId="0" fillId="0" borderId="33" xfId="0" applyNumberFormat="1" applyBorder="1" applyAlignment="1">
      <alignment horizontal="center" vertical="center"/>
    </xf>
    <xf numFmtId="0" fontId="10" fillId="0" borderId="0" xfId="0" applyFont="1" applyAlignment="1">
      <alignment vertical="top"/>
    </xf>
    <xf numFmtId="2" fontId="8" fillId="5" borderId="58" xfId="0" applyNumberFormat="1" applyFont="1" applyFill="1" applyBorder="1" applyAlignment="1">
      <alignment horizontal="center"/>
    </xf>
    <xf numFmtId="0" fontId="1" fillId="12" borderId="33" xfId="0" applyFont="1" applyFill="1" applyBorder="1" applyAlignment="1">
      <alignment horizontal="center" vertical="center" wrapText="1"/>
    </xf>
    <xf numFmtId="0" fontId="1" fillId="21" borderId="33" xfId="0" applyFont="1" applyFill="1" applyBorder="1" applyAlignment="1">
      <alignment horizontal="center" vertical="center" wrapText="1"/>
    </xf>
    <xf numFmtId="0" fontId="1" fillId="19" borderId="33" xfId="0" applyFont="1" applyFill="1" applyBorder="1" applyAlignment="1">
      <alignment horizontal="center" vertical="center" wrapText="1"/>
    </xf>
    <xf numFmtId="0" fontId="1" fillId="11" borderId="33" xfId="0" applyFont="1" applyFill="1" applyBorder="1" applyAlignment="1">
      <alignment horizontal="center" vertical="center" wrapText="1"/>
    </xf>
    <xf numFmtId="0" fontId="1" fillId="27" borderId="33" xfId="0" applyFont="1" applyFill="1" applyBorder="1" applyAlignment="1">
      <alignment horizontal="center" vertical="center" wrapText="1"/>
    </xf>
    <xf numFmtId="0" fontId="1" fillId="20" borderId="33" xfId="0" applyFont="1" applyFill="1" applyBorder="1" applyAlignment="1">
      <alignment horizontal="center" vertical="center" wrapText="1"/>
    </xf>
    <xf numFmtId="0" fontId="1" fillId="18" borderId="33" xfId="0" applyFont="1" applyFill="1" applyBorder="1" applyAlignment="1">
      <alignment horizontal="center" vertical="center" wrapText="1"/>
    </xf>
    <xf numFmtId="0" fontId="1" fillId="17" borderId="33" xfId="0" applyFont="1" applyFill="1" applyBorder="1" applyAlignment="1">
      <alignment horizontal="center" vertical="center" wrapText="1"/>
    </xf>
    <xf numFmtId="0" fontId="1" fillId="13" borderId="33" xfId="0" applyFont="1" applyFill="1" applyBorder="1" applyAlignment="1">
      <alignment horizontal="center" vertical="center" wrapText="1"/>
    </xf>
    <xf numFmtId="0" fontId="1" fillId="5" borderId="33" xfId="0" applyFont="1" applyFill="1" applyBorder="1" applyAlignment="1">
      <alignment horizontal="center" vertical="center" wrapText="1"/>
    </xf>
    <xf numFmtId="0" fontId="1" fillId="15" borderId="33" xfId="0" applyFont="1" applyFill="1" applyBorder="1" applyAlignment="1">
      <alignment horizontal="center" vertical="center" wrapText="1"/>
    </xf>
    <xf numFmtId="0" fontId="1" fillId="16" borderId="33" xfId="0" applyFont="1" applyFill="1" applyBorder="1" applyAlignment="1">
      <alignment horizontal="center" vertical="center" wrapText="1"/>
    </xf>
    <xf numFmtId="0" fontId="1" fillId="6" borderId="33" xfId="0" applyFont="1" applyFill="1" applyBorder="1" applyAlignment="1">
      <alignment horizontal="center" vertical="center" wrapText="1"/>
    </xf>
    <xf numFmtId="0" fontId="1" fillId="26" borderId="33" xfId="0" applyFont="1" applyFill="1" applyBorder="1" applyAlignment="1">
      <alignment horizontal="center" vertical="center" wrapText="1"/>
    </xf>
    <xf numFmtId="0" fontId="1" fillId="11" borderId="33" xfId="0" applyFont="1" applyFill="1" applyBorder="1" applyAlignment="1">
      <alignment vertical="center" wrapText="1"/>
    </xf>
    <xf numFmtId="0" fontId="1" fillId="11" borderId="34" xfId="0" applyFont="1" applyFill="1" applyBorder="1" applyAlignment="1">
      <alignment horizontal="center" vertical="center" wrapText="1"/>
    </xf>
    <xf numFmtId="0" fontId="1" fillId="11" borderId="34" xfId="0" applyFont="1" applyFill="1" applyBorder="1" applyAlignment="1">
      <alignment vertical="center" wrapText="1"/>
    </xf>
    <xf numFmtId="0" fontId="1" fillId="13" borderId="34" xfId="0" applyFont="1" applyFill="1" applyBorder="1" applyAlignment="1">
      <alignment horizontal="center" vertical="center" wrapText="1"/>
    </xf>
    <xf numFmtId="0" fontId="1" fillId="14" borderId="34" xfId="0" applyFont="1" applyFill="1" applyBorder="1" applyAlignment="1">
      <alignment horizontal="center" vertical="center" wrapText="1"/>
    </xf>
    <xf numFmtId="0" fontId="1" fillId="5" borderId="34" xfId="0" applyFont="1" applyFill="1" applyBorder="1" applyAlignment="1">
      <alignment horizontal="center" vertical="center" wrapText="1"/>
    </xf>
    <xf numFmtId="0" fontId="1" fillId="15" borderId="34" xfId="0" applyFont="1" applyFill="1" applyBorder="1" applyAlignment="1">
      <alignment horizontal="center" vertical="center" wrapText="1"/>
    </xf>
    <xf numFmtId="0" fontId="1" fillId="6" borderId="34" xfId="0" applyFont="1" applyFill="1" applyBorder="1" applyAlignment="1">
      <alignment horizontal="center" vertical="center" wrapText="1"/>
    </xf>
    <xf numFmtId="0" fontId="1" fillId="16" borderId="34" xfId="0" applyFont="1" applyFill="1" applyBorder="1" applyAlignment="1">
      <alignment horizontal="center" vertical="center" wrapText="1"/>
    </xf>
    <xf numFmtId="0" fontId="1" fillId="14" borderId="27" xfId="0" applyFont="1" applyFill="1" applyBorder="1" applyAlignment="1">
      <alignment horizontal="center" vertical="center" wrapText="1"/>
    </xf>
    <xf numFmtId="0" fontId="1" fillId="14" borderId="51" xfId="0" applyFont="1" applyFill="1" applyBorder="1" applyAlignment="1">
      <alignment horizontal="center" vertical="center" wrapText="1"/>
    </xf>
    <xf numFmtId="0" fontId="1" fillId="26" borderId="34" xfId="0" applyFont="1" applyFill="1" applyBorder="1" applyAlignment="1">
      <alignment horizontal="center" vertical="center" wrapText="1"/>
    </xf>
    <xf numFmtId="0" fontId="1" fillId="17" borderId="34" xfId="0" applyFont="1" applyFill="1" applyBorder="1" applyAlignment="1">
      <alignment horizontal="center" vertical="center" wrapText="1"/>
    </xf>
    <xf numFmtId="0" fontId="1" fillId="18" borderId="34" xfId="0" applyFont="1" applyFill="1" applyBorder="1" applyAlignment="1">
      <alignment horizontal="center" vertical="center" wrapText="1"/>
    </xf>
    <xf numFmtId="0" fontId="1" fillId="19" borderId="34" xfId="0" applyFont="1" applyFill="1" applyBorder="1" applyAlignment="1">
      <alignment horizontal="center" vertical="center" wrapText="1"/>
    </xf>
    <xf numFmtId="0" fontId="1" fillId="12" borderId="34" xfId="0" applyFont="1" applyFill="1" applyBorder="1" applyAlignment="1">
      <alignment horizontal="center" vertical="center" wrapText="1"/>
    </xf>
    <xf numFmtId="0" fontId="1" fillId="20" borderId="34" xfId="0" applyFont="1" applyFill="1" applyBorder="1" applyAlignment="1">
      <alignment horizontal="center" vertical="center" wrapText="1"/>
    </xf>
    <xf numFmtId="0" fontId="1" fillId="27" borderId="34" xfId="0" applyFont="1" applyFill="1" applyBorder="1" applyAlignment="1">
      <alignment horizontal="center" vertical="center" wrapText="1"/>
    </xf>
    <xf numFmtId="0" fontId="1" fillId="21" borderId="34" xfId="0" applyFont="1" applyFill="1" applyBorder="1" applyAlignment="1">
      <alignment horizontal="center" vertical="center" wrapText="1"/>
    </xf>
    <xf numFmtId="0" fontId="1" fillId="30" borderId="33" xfId="0" applyFont="1" applyFill="1" applyBorder="1" applyAlignment="1">
      <alignment horizontal="center" vertical="center" wrapText="1"/>
    </xf>
    <xf numFmtId="0" fontId="1" fillId="30" borderId="34" xfId="0" applyFont="1" applyFill="1" applyBorder="1" applyAlignment="1">
      <alignment horizontal="center" vertical="center" wrapText="1"/>
    </xf>
    <xf numFmtId="0" fontId="1" fillId="31" borderId="33" xfId="0" applyFont="1" applyFill="1" applyBorder="1" applyAlignment="1">
      <alignment horizontal="center" vertical="center" wrapText="1"/>
    </xf>
    <xf numFmtId="0" fontId="1" fillId="31" borderId="34" xfId="0" applyFont="1" applyFill="1" applyBorder="1" applyAlignment="1">
      <alignment horizontal="center" vertical="center" wrapText="1"/>
    </xf>
    <xf numFmtId="0" fontId="1" fillId="32" borderId="33" xfId="0" applyFont="1" applyFill="1" applyBorder="1" applyAlignment="1">
      <alignment horizontal="center" vertical="center" wrapText="1"/>
    </xf>
    <xf numFmtId="0" fontId="1" fillId="32" borderId="34" xfId="0" applyFont="1" applyFill="1" applyBorder="1" applyAlignment="1">
      <alignment horizontal="center" vertical="center" wrapText="1"/>
    </xf>
    <xf numFmtId="0" fontId="1" fillId="33" borderId="33" xfId="0" applyFont="1" applyFill="1" applyBorder="1" applyAlignment="1">
      <alignment horizontal="center" vertical="center" wrapText="1"/>
    </xf>
    <xf numFmtId="0" fontId="1" fillId="33" borderId="34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34" borderId="33" xfId="0" applyFont="1" applyFill="1" applyBorder="1" applyAlignment="1">
      <alignment horizontal="center" vertical="center" wrapText="1"/>
    </xf>
    <xf numFmtId="0" fontId="1" fillId="34" borderId="34" xfId="0" applyFont="1" applyFill="1" applyBorder="1" applyAlignment="1">
      <alignment horizontal="center" vertical="center" wrapText="1"/>
    </xf>
    <xf numFmtId="0" fontId="18" fillId="11" borderId="33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vertical="top" wrapText="1"/>
    </xf>
    <xf numFmtId="0" fontId="1" fillId="5" borderId="28" xfId="0" applyFont="1" applyFill="1" applyBorder="1" applyAlignment="1">
      <alignment horizontal="center" vertical="center"/>
    </xf>
    <xf numFmtId="0" fontId="0" fillId="5" borderId="52" xfId="0" applyFill="1" applyBorder="1" applyAlignment="1">
      <alignment horizontal="center" vertical="center"/>
    </xf>
    <xf numFmtId="0" fontId="1" fillId="35" borderId="33" xfId="0" applyFont="1" applyFill="1" applyBorder="1" applyAlignment="1">
      <alignment horizontal="center" vertical="center" wrapText="1"/>
    </xf>
    <xf numFmtId="0" fontId="1" fillId="35" borderId="34" xfId="0" applyFont="1" applyFill="1" applyBorder="1" applyAlignment="1">
      <alignment horizontal="center" vertical="center" wrapText="1"/>
    </xf>
    <xf numFmtId="0" fontId="12" fillId="28" borderId="0" xfId="0" applyFont="1" applyFill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12" fillId="29" borderId="0" xfId="0" applyFont="1" applyFill="1"/>
    <xf numFmtId="0" fontId="1" fillId="3" borderId="0" xfId="0" applyFont="1" applyFill="1" applyAlignment="1">
      <alignment vertical="center" wrapText="1"/>
    </xf>
    <xf numFmtId="0" fontId="12" fillId="28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center" vertical="center" wrapText="1"/>
    </xf>
    <xf numFmtId="0" fontId="12" fillId="29" borderId="0" xfId="0" applyFont="1" applyFill="1" applyAlignment="1">
      <alignment horizontal="center" vertical="center"/>
    </xf>
    <xf numFmtId="0" fontId="12" fillId="29" borderId="0" xfId="0" applyFont="1" applyFill="1" applyAlignment="1">
      <alignment horizontal="center" vertical="center" wrapText="1"/>
    </xf>
    <xf numFmtId="0" fontId="12" fillId="0" borderId="13" xfId="0" applyFont="1" applyBorder="1" applyAlignment="1">
      <alignment vertical="top" wrapText="1"/>
    </xf>
    <xf numFmtId="0" fontId="1" fillId="2" borderId="13" xfId="0" applyFont="1" applyFill="1" applyBorder="1" applyAlignment="1">
      <alignment vertical="top" wrapText="1"/>
    </xf>
    <xf numFmtId="0" fontId="12" fillId="2" borderId="13" xfId="0" applyFont="1" applyFill="1" applyBorder="1" applyAlignment="1">
      <alignment vertical="top" wrapText="1"/>
    </xf>
    <xf numFmtId="0" fontId="1" fillId="2" borderId="13" xfId="0" applyFont="1" applyFill="1" applyBorder="1" applyAlignment="1">
      <alignment horizontal="left" vertical="center" wrapText="1"/>
    </xf>
    <xf numFmtId="0" fontId="0" fillId="3" borderId="0" xfId="0" applyFill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8" fillId="0" borderId="11" xfId="0" applyFont="1" applyBorder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1" fillId="0" borderId="88" xfId="0" applyFont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14" fontId="4" fillId="0" borderId="0" xfId="0" applyNumberFormat="1" applyFont="1" applyAlignment="1">
      <alignment horizontal="left"/>
    </xf>
    <xf numFmtId="0" fontId="6" fillId="22" borderId="0" xfId="0" applyFont="1" applyFill="1" applyAlignment="1">
      <alignment horizontal="center"/>
    </xf>
    <xf numFmtId="0" fontId="0" fillId="22" borderId="0" xfId="0" applyFill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39" fillId="24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14" fontId="4" fillId="0" borderId="0" xfId="0" applyNumberFormat="1" applyFont="1" applyAlignment="1" applyProtection="1">
      <alignment horizontal="left"/>
      <protection locked="0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top"/>
    </xf>
    <xf numFmtId="0" fontId="0" fillId="0" borderId="3" xfId="0" applyBorder="1" applyAlignment="1">
      <alignment horizontal="center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" fillId="0" borderId="86" xfId="0" applyFont="1" applyBorder="1" applyAlignment="1">
      <alignment horizontal="center" vertical="center"/>
    </xf>
    <xf numFmtId="0" fontId="1" fillId="0" borderId="84" xfId="0" applyFont="1" applyBorder="1" applyAlignment="1">
      <alignment horizontal="center" vertical="center"/>
    </xf>
    <xf numFmtId="0" fontId="1" fillId="0" borderId="85" xfId="0" applyFont="1" applyBorder="1" applyAlignment="1">
      <alignment horizontal="center" vertical="center"/>
    </xf>
    <xf numFmtId="0" fontId="1" fillId="0" borderId="87" xfId="0" applyFont="1" applyBorder="1" applyAlignment="1">
      <alignment horizontal="center" vertical="center"/>
    </xf>
    <xf numFmtId="0" fontId="5" fillId="0" borderId="78" xfId="0" applyFont="1" applyBorder="1" applyAlignment="1" applyProtection="1">
      <alignment horizontal="center" vertical="center"/>
      <protection locked="0"/>
    </xf>
    <xf numFmtId="0" fontId="5" fillId="0" borderId="76" xfId="0" applyFont="1" applyBorder="1" applyAlignment="1" applyProtection="1">
      <alignment horizontal="center" vertical="center"/>
      <protection locked="0"/>
    </xf>
    <xf numFmtId="0" fontId="5" fillId="0" borderId="79" xfId="0" applyFont="1" applyBorder="1" applyAlignment="1" applyProtection="1">
      <alignment horizontal="center" vertical="center"/>
      <protection locked="0"/>
    </xf>
    <xf numFmtId="0" fontId="5" fillId="0" borderId="48" xfId="0" applyFont="1" applyBorder="1" applyAlignment="1" applyProtection="1">
      <alignment horizontal="center" vertical="center"/>
      <protection locked="0"/>
    </xf>
    <xf numFmtId="0" fontId="5" fillId="0" borderId="80" xfId="0" applyFont="1" applyBorder="1" applyAlignment="1" applyProtection="1">
      <alignment horizontal="center" vertical="center"/>
      <protection locked="0"/>
    </xf>
    <xf numFmtId="0" fontId="5" fillId="0" borderId="77" xfId="0" applyFont="1" applyBorder="1" applyAlignment="1" applyProtection="1">
      <alignment horizontal="center" vertical="center"/>
      <protection locked="0"/>
    </xf>
    <xf numFmtId="0" fontId="4" fillId="0" borderId="78" xfId="0" applyFont="1" applyBorder="1" applyAlignment="1" applyProtection="1">
      <alignment horizontal="center" vertical="center"/>
      <protection locked="0"/>
    </xf>
    <xf numFmtId="0" fontId="4" fillId="0" borderId="76" xfId="0" applyFont="1" applyBorder="1" applyAlignment="1" applyProtection="1">
      <alignment horizontal="center" vertical="center"/>
      <protection locked="0"/>
    </xf>
    <xf numFmtId="0" fontId="4" fillId="0" borderId="79" xfId="0" applyFont="1" applyBorder="1" applyAlignment="1" applyProtection="1">
      <alignment horizontal="center" vertical="center"/>
      <protection locked="0"/>
    </xf>
    <xf numFmtId="0" fontId="4" fillId="0" borderId="48" xfId="0" applyFont="1" applyBorder="1" applyAlignment="1" applyProtection="1">
      <alignment horizontal="center" vertical="center"/>
      <protection locked="0"/>
    </xf>
    <xf numFmtId="0" fontId="4" fillId="0" borderId="80" xfId="0" applyFont="1" applyBorder="1" applyAlignment="1" applyProtection="1">
      <alignment horizontal="center" vertical="center"/>
      <protection locked="0"/>
    </xf>
    <xf numFmtId="0" fontId="4" fillId="0" borderId="77" xfId="0" applyFont="1" applyBorder="1" applyAlignment="1" applyProtection="1">
      <alignment horizontal="center" vertical="center"/>
      <protection locked="0"/>
    </xf>
    <xf numFmtId="0" fontId="1" fillId="0" borderId="83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top"/>
      <protection locked="0"/>
    </xf>
    <xf numFmtId="0" fontId="11" fillId="0" borderId="0" xfId="0" applyFont="1" applyAlignment="1">
      <alignment horizontal="center" vertical="center"/>
    </xf>
    <xf numFmtId="0" fontId="0" fillId="0" borderId="8" xfId="0" applyBorder="1" applyAlignment="1">
      <alignment horizontal="center"/>
    </xf>
    <xf numFmtId="0" fontId="1" fillId="0" borderId="0" xfId="0" applyFont="1" applyAlignment="1" applyProtection="1">
      <alignment horizontal="center" vertical="top"/>
      <protection locked="0"/>
    </xf>
    <xf numFmtId="0" fontId="23" fillId="0" borderId="0" xfId="0" applyFont="1" applyAlignment="1">
      <alignment horizontal="center" vertical="center" textRotation="90"/>
    </xf>
    <xf numFmtId="0" fontId="1" fillId="0" borderId="0" xfId="0" applyFont="1" applyAlignment="1" applyProtection="1">
      <alignment horizontal="center" vertical="center" textRotation="90"/>
      <protection locked="0"/>
    </xf>
    <xf numFmtId="0" fontId="0" fillId="0" borderId="0" xfId="0" applyAlignment="1" applyProtection="1">
      <alignment horizontal="center" vertical="center" textRotation="90"/>
      <protection locked="0"/>
    </xf>
    <xf numFmtId="0" fontId="1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 textRotation="90"/>
    </xf>
    <xf numFmtId="0" fontId="6" fillId="0" borderId="8" xfId="0" applyFont="1" applyBorder="1" applyAlignment="1">
      <alignment horizontal="center" textRotation="90"/>
    </xf>
    <xf numFmtId="0" fontId="1" fillId="18" borderId="0" xfId="0" applyFont="1" applyFill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4" fillId="0" borderId="0" xfId="0" applyFont="1" applyAlignment="1" applyProtection="1">
      <alignment horizontal="left"/>
      <protection locked="0"/>
    </xf>
    <xf numFmtId="0" fontId="28" fillId="0" borderId="0" xfId="0" applyFont="1" applyAlignment="1" applyProtection="1">
      <alignment horizontal="left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81" xfId="0" applyFont="1" applyBorder="1" applyAlignment="1">
      <alignment horizontal="center" vertical="center" wrapText="1"/>
    </xf>
    <xf numFmtId="0" fontId="17" fillId="0" borderId="79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17" fillId="0" borderId="82" xfId="0" applyFont="1" applyBorder="1" applyAlignment="1">
      <alignment horizontal="center" vertical="center" wrapText="1"/>
    </xf>
    <xf numFmtId="0" fontId="17" fillId="0" borderId="81" xfId="0" applyFont="1" applyBorder="1" applyAlignment="1">
      <alignment horizontal="center" vertical="center" wrapText="1"/>
    </xf>
    <xf numFmtId="0" fontId="12" fillId="0" borderId="88" xfId="0" applyFont="1" applyBorder="1" applyAlignment="1">
      <alignment horizontal="center" vertical="center" wrapText="1"/>
    </xf>
    <xf numFmtId="0" fontId="12" fillId="0" borderId="89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2" fillId="18" borderId="0" xfId="0" applyFont="1" applyFill="1"/>
    <xf numFmtId="0" fontId="1" fillId="18" borderId="0" xfId="0" applyFont="1" applyFill="1" applyAlignment="1">
      <alignment horizontal="center" vertical="center"/>
    </xf>
    <xf numFmtId="0" fontId="18" fillId="36" borderId="0" xfId="0" applyFont="1" applyFill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48" xfId="0" applyFont="1" applyBorder="1" applyAlignment="1" applyProtection="1">
      <alignment horizontal="center" vertical="center" wrapText="1"/>
      <protection locked="0"/>
    </xf>
    <xf numFmtId="0" fontId="4" fillId="0" borderId="90" xfId="0" applyFont="1" applyBorder="1" applyAlignment="1" applyProtection="1">
      <alignment horizontal="center" vertical="center" wrapText="1"/>
      <protection locked="0"/>
    </xf>
    <xf numFmtId="0" fontId="4" fillId="0" borderId="91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0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" fillId="0" borderId="78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8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6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9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center" vertical="center"/>
      <protection locked="0"/>
    </xf>
    <xf numFmtId="0" fontId="20" fillId="0" borderId="0" xfId="0" applyFont="1" applyAlignment="1">
      <alignment horizontal="center" vertical="center" textRotation="90"/>
    </xf>
    <xf numFmtId="0" fontId="12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center" textRotation="90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8" xfId="0" applyFont="1" applyBorder="1" applyAlignment="1">
      <alignment horizontal="center" textRotation="90"/>
    </xf>
    <xf numFmtId="0" fontId="6" fillId="0" borderId="0" xfId="0" applyFont="1" applyAlignment="1">
      <alignment horizontal="center" textRotation="90"/>
    </xf>
    <xf numFmtId="0" fontId="4" fillId="0" borderId="102" xfId="0" applyFont="1" applyBorder="1" applyAlignment="1" applyProtection="1">
      <alignment horizontal="center" vertical="center" wrapText="1"/>
      <protection locked="0"/>
    </xf>
    <xf numFmtId="0" fontId="4" fillId="0" borderId="106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103" xfId="0" applyFont="1" applyBorder="1" applyAlignment="1" applyProtection="1">
      <alignment horizontal="center" vertical="center" wrapText="1"/>
      <protection locked="0"/>
    </xf>
    <xf numFmtId="0" fontId="4" fillId="0" borderId="81" xfId="0" applyFont="1" applyBorder="1" applyAlignment="1" applyProtection="1">
      <alignment horizontal="center" vertical="center" wrapText="1"/>
      <protection locked="0"/>
    </xf>
    <xf numFmtId="0" fontId="4" fillId="0" borderId="105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" fontId="4" fillId="0" borderId="78" xfId="0" applyNumberFormat="1" applyFont="1" applyBorder="1" applyAlignment="1" applyProtection="1">
      <alignment horizontal="center" vertical="center"/>
      <protection locked="0"/>
    </xf>
    <xf numFmtId="1" fontId="4" fillId="0" borderId="76" xfId="0" applyNumberFormat="1" applyFont="1" applyBorder="1" applyAlignment="1" applyProtection="1">
      <alignment horizontal="center" vertical="center"/>
      <protection locked="0"/>
    </xf>
    <xf numFmtId="1" fontId="4" fillId="0" borderId="79" xfId="0" applyNumberFormat="1" applyFont="1" applyBorder="1" applyAlignment="1" applyProtection="1">
      <alignment horizontal="center" vertical="center"/>
      <protection locked="0"/>
    </xf>
    <xf numFmtId="1" fontId="4" fillId="0" borderId="48" xfId="0" applyNumberFormat="1" applyFont="1" applyBorder="1" applyAlignment="1" applyProtection="1">
      <alignment horizontal="center" vertical="center"/>
      <protection locked="0"/>
    </xf>
    <xf numFmtId="1" fontId="4" fillId="0" borderId="80" xfId="0" applyNumberFormat="1" applyFont="1" applyBorder="1" applyAlignment="1" applyProtection="1">
      <alignment horizontal="center" vertical="center"/>
      <protection locked="0"/>
    </xf>
    <xf numFmtId="1" fontId="4" fillId="0" borderId="77" xfId="0" applyNumberFormat="1" applyFont="1" applyBorder="1" applyAlignment="1" applyProtection="1">
      <alignment horizontal="center" vertical="center"/>
      <protection locked="0"/>
    </xf>
    <xf numFmtId="0" fontId="34" fillId="0" borderId="4" xfId="0" applyFont="1" applyBorder="1" applyAlignment="1">
      <alignment horizontal="center" vertical="center" textRotation="90"/>
    </xf>
    <xf numFmtId="0" fontId="34" fillId="0" borderId="0" xfId="0" applyFont="1" applyAlignment="1">
      <alignment horizontal="center" vertical="center" textRotation="90"/>
    </xf>
    <xf numFmtId="0" fontId="7" fillId="23" borderId="0" xfId="0" applyFont="1" applyFill="1" applyAlignment="1">
      <alignment horizontal="center" vertical="center"/>
    </xf>
    <xf numFmtId="0" fontId="7" fillId="22" borderId="0" xfId="0" applyFont="1" applyFill="1" applyAlignment="1">
      <alignment horizontal="center" vertical="center"/>
    </xf>
    <xf numFmtId="14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0" fillId="0" borderId="0" xfId="0" applyAlignment="1" applyProtection="1">
      <alignment horizontal="center" textRotation="90"/>
      <protection locked="0"/>
    </xf>
    <xf numFmtId="0" fontId="0" fillId="0" borderId="14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" fillId="0" borderId="76" xfId="0" applyFont="1" applyBorder="1" applyAlignment="1">
      <alignment horizontal="center"/>
    </xf>
    <xf numFmtId="0" fontId="1" fillId="0" borderId="81" xfId="0" applyFont="1" applyBorder="1" applyAlignment="1">
      <alignment horizontal="center"/>
    </xf>
    <xf numFmtId="0" fontId="25" fillId="0" borderId="28" xfId="0" applyFont="1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8" xfId="0" applyBorder="1" applyAlignment="1">
      <alignment horizontal="center"/>
    </xf>
    <xf numFmtId="0" fontId="25" fillId="0" borderId="64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0" fillId="0" borderId="71" xfId="0" applyBorder="1" applyAlignment="1">
      <alignment horizontal="center"/>
    </xf>
    <xf numFmtId="0" fontId="0" fillId="25" borderId="0" xfId="0" applyFill="1" applyAlignment="1">
      <alignment horizontal="center"/>
    </xf>
    <xf numFmtId="0" fontId="4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42" fillId="0" borderId="10" xfId="0" applyFont="1" applyBorder="1" applyAlignment="1">
      <alignment horizontal="center" vertical="center" wrapText="1"/>
    </xf>
    <xf numFmtId="0" fontId="42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3" borderId="0" xfId="0" applyFont="1" applyFill="1" applyAlignment="1">
      <alignment horizontal="center" vertical="center" textRotation="90"/>
    </xf>
    <xf numFmtId="0" fontId="42" fillId="0" borderId="93" xfId="0" applyFont="1" applyBorder="1" applyAlignment="1">
      <alignment horizontal="center"/>
    </xf>
    <xf numFmtId="0" fontId="42" fillId="0" borderId="118" xfId="0" applyFont="1" applyBorder="1" applyAlignment="1">
      <alignment horizontal="center"/>
    </xf>
    <xf numFmtId="0" fontId="18" fillId="0" borderId="93" xfId="0" applyFont="1" applyBorder="1" applyAlignment="1">
      <alignment horizontal="center"/>
    </xf>
    <xf numFmtId="0" fontId="18" fillId="0" borderId="94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42" fillId="0" borderId="99" xfId="0" applyFont="1" applyBorder="1" applyAlignment="1">
      <alignment vertical="center"/>
    </xf>
    <xf numFmtId="0" fontId="42" fillId="0" borderId="100" xfId="0" applyFont="1" applyBorder="1" applyAlignment="1">
      <alignment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left" vertical="center"/>
    </xf>
    <xf numFmtId="0" fontId="5" fillId="0" borderId="23" xfId="0" applyFont="1" applyBorder="1" applyAlignment="1">
      <alignment horizontal="right"/>
    </xf>
    <xf numFmtId="0" fontId="5" fillId="0" borderId="24" xfId="0" applyFont="1" applyBorder="1" applyAlignment="1">
      <alignment horizontal="right"/>
    </xf>
    <xf numFmtId="0" fontId="21" fillId="0" borderId="92" xfId="0" applyFont="1" applyBorder="1" applyAlignment="1">
      <alignment horizontal="left" vertical="center"/>
    </xf>
    <xf numFmtId="0" fontId="0" fillId="0" borderId="92" xfId="0" applyBorder="1" applyAlignment="1">
      <alignment horizontal="center" wrapText="1"/>
    </xf>
    <xf numFmtId="0" fontId="22" fillId="0" borderId="92" xfId="0" applyFont="1" applyBorder="1" applyAlignment="1">
      <alignment horizontal="right" vertical="center"/>
    </xf>
    <xf numFmtId="0" fontId="18" fillId="0" borderId="92" xfId="0" applyFont="1" applyBorder="1" applyAlignment="1">
      <alignment horizontal="center"/>
    </xf>
    <xf numFmtId="2" fontId="16" fillId="0" borderId="92" xfId="0" applyNumberFormat="1" applyFont="1" applyBorder="1" applyAlignment="1">
      <alignment horizontal="center"/>
    </xf>
    <xf numFmtId="2" fontId="16" fillId="0" borderId="93" xfId="0" applyNumberFormat="1" applyFont="1" applyBorder="1" applyAlignment="1">
      <alignment horizontal="center"/>
    </xf>
    <xf numFmtId="0" fontId="1" fillId="0" borderId="109" xfId="0" applyFont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1" fillId="0" borderId="92" xfId="0" applyFont="1" applyBorder="1" applyAlignment="1">
      <alignment horizontal="center"/>
    </xf>
    <xf numFmtId="2" fontId="18" fillId="0" borderId="92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12" fillId="0" borderId="92" xfId="0" applyFont="1" applyBorder="1" applyAlignment="1">
      <alignment horizontal="center"/>
    </xf>
    <xf numFmtId="2" fontId="1" fillId="0" borderId="92" xfId="0" applyNumberFormat="1" applyFont="1" applyBorder="1" applyAlignment="1">
      <alignment horizontal="center"/>
    </xf>
    <xf numFmtId="0" fontId="17" fillId="0" borderId="4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5" fillId="0" borderId="92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14" fontId="21" fillId="0" borderId="92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2" fillId="0" borderId="92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8" fillId="0" borderId="113" xfId="0" applyFont="1" applyBorder="1" applyAlignment="1">
      <alignment horizontal="center"/>
    </xf>
    <xf numFmtId="0" fontId="18" fillId="0" borderId="114" xfId="0" applyFont="1" applyBorder="1" applyAlignment="1">
      <alignment horizontal="center"/>
    </xf>
    <xf numFmtId="0" fontId="18" fillId="0" borderId="115" xfId="0" applyFont="1" applyBorder="1" applyAlignment="1">
      <alignment horizontal="center"/>
    </xf>
    <xf numFmtId="0" fontId="18" fillId="0" borderId="116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117" xfId="0" applyFont="1" applyBorder="1" applyAlignment="1">
      <alignment horizontal="center" vertical="center"/>
    </xf>
    <xf numFmtId="0" fontId="15" fillId="0" borderId="93" xfId="0" applyFont="1" applyBorder="1" applyAlignment="1">
      <alignment horizontal="center"/>
    </xf>
    <xf numFmtId="0" fontId="15" fillId="0" borderId="118" xfId="0" applyFont="1" applyBorder="1" applyAlignment="1">
      <alignment horizontal="center"/>
    </xf>
    <xf numFmtId="0" fontId="15" fillId="0" borderId="94" xfId="0" applyFont="1" applyBorder="1" applyAlignment="1">
      <alignment horizontal="center"/>
    </xf>
    <xf numFmtId="0" fontId="4" fillId="2" borderId="4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2" fontId="12" fillId="0" borderId="96" xfId="0" applyNumberFormat="1" applyFont="1" applyBorder="1" applyAlignment="1">
      <alignment horizontal="center" vertical="top" wrapText="1"/>
    </xf>
    <xf numFmtId="2" fontId="12" fillId="0" borderId="97" xfId="0" applyNumberFormat="1" applyFont="1" applyBorder="1" applyAlignment="1">
      <alignment horizontal="center" vertical="top" wrapText="1"/>
    </xf>
    <xf numFmtId="2" fontId="12" fillId="0" borderId="99" xfId="0" applyNumberFormat="1" applyFont="1" applyBorder="1" applyAlignment="1">
      <alignment horizontal="center" vertical="top" wrapText="1"/>
    </xf>
    <xf numFmtId="2" fontId="12" fillId="0" borderId="100" xfId="0" applyNumberFormat="1" applyFont="1" applyBorder="1" applyAlignment="1">
      <alignment horizontal="center" vertical="top" wrapText="1"/>
    </xf>
    <xf numFmtId="0" fontId="40" fillId="0" borderId="0" xfId="0" applyFont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2" fillId="0" borderId="98" xfId="0" applyFont="1" applyBorder="1" applyAlignment="1">
      <alignment horizontal="center" vertical="top" wrapText="1"/>
    </xf>
    <xf numFmtId="0" fontId="42" fillId="0" borderId="101" xfId="0" applyFont="1" applyBorder="1" applyAlignment="1">
      <alignment horizontal="center" vertical="top" wrapText="1"/>
    </xf>
    <xf numFmtId="0" fontId="43" fillId="0" borderId="28" xfId="0" applyFont="1" applyBorder="1" applyAlignment="1">
      <alignment horizontal="left" vertical="center" wrapText="1"/>
    </xf>
    <xf numFmtId="0" fontId="43" fillId="0" borderId="0" xfId="0" applyFont="1" applyAlignment="1">
      <alignment horizontal="left" vertical="center" wrapText="1"/>
    </xf>
    <xf numFmtId="0" fontId="4" fillId="0" borderId="21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92" xfId="0" applyBorder="1" applyAlignment="1">
      <alignment horizontal="center"/>
    </xf>
    <xf numFmtId="0" fontId="21" fillId="0" borderId="9" xfId="0" applyFont="1" applyBorder="1" applyAlignment="1">
      <alignment horizontal="right" vertical="center"/>
    </xf>
    <xf numFmtId="0" fontId="1" fillId="3" borderId="22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 wrapText="1"/>
    </xf>
    <xf numFmtId="0" fontId="0" fillId="3" borderId="12" xfId="0" applyFill="1" applyBorder="1" applyAlignment="1">
      <alignment horizontal="center" wrapText="1"/>
    </xf>
    <xf numFmtId="0" fontId="12" fillId="3" borderId="4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12" fillId="0" borderId="10" xfId="0" applyFont="1" applyBorder="1" applyAlignment="1">
      <alignment horizontal="center" vertical="center"/>
    </xf>
    <xf numFmtId="14" fontId="4" fillId="0" borderId="107" xfId="0" applyNumberFormat="1" applyFont="1" applyBorder="1" applyAlignment="1" applyProtection="1">
      <alignment horizontal="center"/>
      <protection locked="0"/>
    </xf>
    <xf numFmtId="0" fontId="21" fillId="0" borderId="107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left" vertical="center"/>
    </xf>
    <xf numFmtId="0" fontId="11" fillId="0" borderId="75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31" fillId="0" borderId="6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2" fontId="18" fillId="0" borderId="92" xfId="0" applyNumberFormat="1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8" fillId="0" borderId="0" xfId="0" applyFont="1" applyAlignment="1">
      <alignment horizontal="center"/>
    </xf>
    <xf numFmtId="1" fontId="8" fillId="0" borderId="22" xfId="0" applyNumberFormat="1" applyFont="1" applyBorder="1" applyAlignment="1">
      <alignment horizontal="center" vertical="top"/>
    </xf>
    <xf numFmtId="1" fontId="8" fillId="0" borderId="1" xfId="0" applyNumberFormat="1" applyFont="1" applyBorder="1" applyAlignment="1">
      <alignment horizontal="center" vertical="top"/>
    </xf>
    <xf numFmtId="1" fontId="8" fillId="0" borderId="13" xfId="0" applyNumberFormat="1" applyFont="1" applyBorder="1" applyAlignment="1">
      <alignment horizontal="center" vertical="top"/>
    </xf>
    <xf numFmtId="0" fontId="0" fillId="0" borderId="109" xfId="0" applyBorder="1" applyAlignment="1">
      <alignment horizontal="center"/>
    </xf>
    <xf numFmtId="0" fontId="17" fillId="0" borderId="100" xfId="0" applyFont="1" applyBorder="1" applyAlignment="1">
      <alignment horizontal="center"/>
    </xf>
    <xf numFmtId="0" fontId="17" fillId="0" borderId="101" xfId="0" applyFont="1" applyBorder="1" applyAlignment="1">
      <alignment horizontal="center"/>
    </xf>
    <xf numFmtId="0" fontId="42" fillId="0" borderId="100" xfId="0" applyFont="1" applyBorder="1" applyAlignment="1">
      <alignment horizontal="center"/>
    </xf>
    <xf numFmtId="0" fontId="12" fillId="0" borderId="94" xfId="0" applyFont="1" applyBorder="1" applyAlignment="1">
      <alignment horizontal="center"/>
    </xf>
    <xf numFmtId="0" fontId="42" fillId="0" borderId="94" xfId="0" applyFont="1" applyBorder="1" applyAlignment="1">
      <alignment horizontal="center"/>
    </xf>
    <xf numFmtId="0" fontId="42" fillId="0" borderId="92" xfId="0" applyFont="1" applyBorder="1" applyAlignment="1">
      <alignment horizontal="center"/>
    </xf>
    <xf numFmtId="2" fontId="12" fillId="0" borderId="108" xfId="0" applyNumberFormat="1" applyFont="1" applyBorder="1" applyAlignment="1">
      <alignment horizontal="center"/>
    </xf>
    <xf numFmtId="2" fontId="12" fillId="0" borderId="0" xfId="0" applyNumberFormat="1" applyFont="1" applyAlignment="1">
      <alignment horizontal="center"/>
    </xf>
    <xf numFmtId="2" fontId="12" fillId="0" borderId="119" xfId="0" applyNumberFormat="1" applyFont="1" applyBorder="1" applyAlignment="1">
      <alignment horizontal="center"/>
    </xf>
    <xf numFmtId="49" fontId="42" fillId="0" borderId="7" xfId="0" applyNumberFormat="1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2" fontId="18" fillId="0" borderId="95" xfId="0" applyNumberFormat="1" applyFont="1" applyBorder="1" applyAlignment="1">
      <alignment horizontal="center"/>
    </xf>
    <xf numFmtId="0" fontId="15" fillId="5" borderId="0" xfId="0" applyFont="1" applyFill="1" applyAlignment="1">
      <alignment horizontal="center"/>
    </xf>
    <xf numFmtId="0" fontId="1" fillId="0" borderId="93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64" xfId="0" applyBorder="1" applyAlignment="1">
      <alignment horizontal="center"/>
    </xf>
    <xf numFmtId="0" fontId="16" fillId="0" borderId="108" xfId="0" applyFont="1" applyBorder="1" applyAlignment="1">
      <alignment horizontal="right"/>
    </xf>
    <xf numFmtId="0" fontId="16" fillId="0" borderId="0" xfId="0" applyFont="1" applyAlignment="1">
      <alignment horizontal="right"/>
    </xf>
    <xf numFmtId="2" fontId="12" fillId="0" borderId="108" xfId="0" applyNumberFormat="1" applyFont="1" applyBorder="1" applyAlignment="1">
      <alignment horizontal="right"/>
    </xf>
    <xf numFmtId="0" fontId="12" fillId="0" borderId="0" xfId="0" applyFont="1" applyAlignment="1">
      <alignment horizontal="right"/>
    </xf>
    <xf numFmtId="2" fontId="1" fillId="0" borderId="7" xfId="0" applyNumberFormat="1" applyFont="1" applyBorder="1" applyAlignment="1">
      <alignment horizontal="center" vertical="center"/>
    </xf>
    <xf numFmtId="2" fontId="1" fillId="0" borderId="22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0" fontId="1" fillId="8" borderId="56" xfId="0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center" vertical="center"/>
    </xf>
    <xf numFmtId="0" fontId="8" fillId="8" borderId="32" xfId="0" applyFont="1" applyFill="1" applyBorder="1" applyAlignment="1">
      <alignment horizontal="center" vertical="center"/>
    </xf>
    <xf numFmtId="0" fontId="8" fillId="8" borderId="64" xfId="0" applyFont="1" applyFill="1" applyBorder="1" applyAlignment="1">
      <alignment horizontal="center" vertical="center"/>
    </xf>
    <xf numFmtId="0" fontId="8" fillId="8" borderId="71" xfId="0" applyFont="1" applyFill="1" applyBorder="1" applyAlignment="1">
      <alignment horizontal="center" vertical="center"/>
    </xf>
    <xf numFmtId="0" fontId="1" fillId="8" borderId="22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13" xfId="0" applyFont="1" applyFill="1" applyBorder="1" applyAlignment="1">
      <alignment horizontal="center" vertical="center"/>
    </xf>
    <xf numFmtId="0" fontId="12" fillId="8" borderId="0" xfId="0" applyFont="1" applyFill="1" applyAlignment="1">
      <alignment horizontal="center" wrapText="1"/>
    </xf>
    <xf numFmtId="0" fontId="1" fillId="8" borderId="59" xfId="0" applyFont="1" applyFill="1" applyBorder="1" applyAlignment="1">
      <alignment horizontal="center" vertical="center"/>
    </xf>
    <xf numFmtId="0" fontId="1" fillId="8" borderId="67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7" fontId="1" fillId="8" borderId="59" xfId="0" applyNumberFormat="1" applyFont="1" applyFill="1" applyBorder="1" applyAlignment="1">
      <alignment horizontal="center" vertical="center"/>
    </xf>
    <xf numFmtId="167" fontId="1" fillId="8" borderId="67" xfId="0" applyNumberFormat="1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1" fillId="8" borderId="65" xfId="0" applyFont="1" applyFill="1" applyBorder="1" applyAlignment="1">
      <alignment horizontal="center" vertical="center"/>
    </xf>
    <xf numFmtId="0" fontId="1" fillId="8" borderId="24" xfId="0" applyFont="1" applyFill="1" applyBorder="1" applyAlignment="1">
      <alignment horizontal="center" vertical="center"/>
    </xf>
    <xf numFmtId="0" fontId="1" fillId="8" borderId="66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16" fillId="8" borderId="35" xfId="0" applyFont="1" applyFill="1" applyBorder="1" applyAlignment="1">
      <alignment horizontal="center" vertical="center"/>
    </xf>
    <xf numFmtId="0" fontId="16" fillId="8" borderId="0" xfId="0" applyFont="1" applyFill="1" applyAlignment="1">
      <alignment horizontal="center" vertical="center"/>
    </xf>
    <xf numFmtId="0" fontId="1" fillId="8" borderId="60" xfId="0" applyFont="1" applyFill="1" applyBorder="1" applyAlignment="1">
      <alignment horizontal="center" vertical="center"/>
    </xf>
    <xf numFmtId="0" fontId="8" fillId="8" borderId="59" xfId="0" applyFont="1" applyFill="1" applyBorder="1" applyAlignment="1">
      <alignment horizontal="center" vertical="center"/>
    </xf>
    <xf numFmtId="0" fontId="8" fillId="8" borderId="28" xfId="0" applyFont="1" applyFill="1" applyBorder="1" applyAlignment="1">
      <alignment horizontal="center" vertical="center"/>
    </xf>
    <xf numFmtId="167" fontId="1" fillId="8" borderId="60" xfId="0" applyNumberFormat="1" applyFont="1" applyFill="1" applyBorder="1" applyAlignment="1">
      <alignment horizontal="center" vertical="center"/>
    </xf>
    <xf numFmtId="0" fontId="8" fillId="0" borderId="0" xfId="0" applyFont="1"/>
    <xf numFmtId="0" fontId="0" fillId="0" borderId="0" xfId="0"/>
    <xf numFmtId="0" fontId="8" fillId="8" borderId="29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16" fillId="8" borderId="51" xfId="0" applyFont="1" applyFill="1" applyBorder="1" applyAlignment="1">
      <alignment horizontal="center" vertical="center"/>
    </xf>
    <xf numFmtId="0" fontId="16" fillId="8" borderId="52" xfId="0" applyFont="1" applyFill="1" applyBorder="1" applyAlignment="1">
      <alignment horizontal="center" vertical="center"/>
    </xf>
    <xf numFmtId="0" fontId="8" fillId="8" borderId="52" xfId="0" applyFont="1" applyFill="1" applyBorder="1" applyAlignment="1">
      <alignment horizontal="center" vertical="center"/>
    </xf>
    <xf numFmtId="0" fontId="8" fillId="8" borderId="51" xfId="0" applyFont="1" applyFill="1" applyBorder="1" applyAlignment="1">
      <alignment horizontal="center" vertical="center"/>
    </xf>
    <xf numFmtId="0" fontId="1" fillId="8" borderId="52" xfId="0" applyFont="1" applyFill="1" applyBorder="1" applyAlignment="1">
      <alignment horizontal="center" vertical="center"/>
    </xf>
    <xf numFmtId="0" fontId="1" fillId="8" borderId="57" xfId="0" applyFont="1" applyFill="1" applyBorder="1" applyAlignment="1">
      <alignment horizontal="center" vertical="center"/>
    </xf>
    <xf numFmtId="0" fontId="1" fillId="8" borderId="58" xfId="0" applyFont="1" applyFill="1" applyBorder="1" applyAlignment="1">
      <alignment horizontal="center" vertical="center"/>
    </xf>
  </cellXfs>
  <cellStyles count="2">
    <cellStyle name="Euro" xfId="1" xr:uid="{291E7A14-5FE2-40EE-8264-8AE44D0B2865}"/>
    <cellStyle name="Normale" xfId="0" builtinId="0"/>
  </cellStyles>
  <dxfs count="539">
    <dxf>
      <font>
        <strike val="0"/>
      </font>
      <fill>
        <gradientFill degree="180">
          <stop position="0">
            <color theme="0"/>
          </stop>
          <stop position="1">
            <color rgb="FF99FF33"/>
          </stop>
        </gradient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ill>
        <patternFill>
          <bgColor rgb="FFFFFFFF"/>
        </patternFill>
      </fill>
    </dxf>
    <dxf>
      <fill>
        <patternFill>
          <bgColor rgb="FFFFFF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99FF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</font>
      <fill>
        <gradientFill type="path" left="0.5" right="0.5" top="0.5" bottom="0.5">
          <stop position="0">
            <color rgb="FFFFFF00"/>
          </stop>
          <stop position="1">
            <color rgb="FFFF0000"/>
          </stop>
        </gradient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ont>
        <strike val="0"/>
      </font>
      <fill>
        <gradientFill type="path" left="0.5" right="0.5" top="0.5" bottom="0.5">
          <stop position="0">
            <color rgb="FFFFFF00"/>
          </stop>
          <stop position="1">
            <color rgb="FFFF0000"/>
          </stop>
        </gradientFill>
      </fill>
    </dxf>
    <dxf>
      <fill>
        <patternFill>
          <bgColor rgb="FFFFFFFF"/>
        </patternFill>
      </fill>
      <border>
        <left/>
        <right/>
        <top/>
        <bottom/>
        <vertical/>
        <horizontal/>
      </border>
    </dxf>
    <dxf>
      <fill>
        <patternFill>
          <bgColor rgb="FFFFCC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FF"/>
        </patternFill>
      </fill>
      <border>
        <left/>
        <right/>
        <top/>
        <bottom/>
        <vertical/>
        <horizontal/>
      </border>
    </dxf>
    <dxf>
      <fill>
        <patternFill>
          <bgColor rgb="FFFFFFFF"/>
        </patternFill>
      </fill>
      <border>
        <left/>
        <right/>
        <top/>
        <bottom/>
        <vertical/>
        <horizontal/>
      </border>
    </dxf>
    <dxf>
      <font>
        <strike/>
        <u val="double"/>
      </font>
      <fill>
        <gradientFill type="path" left="0.5" right="0.5" top="0.5" bottom="0.5">
          <stop position="0">
            <color rgb="FFFFFF00"/>
          </stop>
          <stop position="1">
            <color rgb="FFFF0000"/>
          </stop>
        </gradientFill>
      </fill>
    </dxf>
    <dxf>
      <font>
        <strike val="0"/>
      </font>
      <fill>
        <patternFill>
          <bgColor rgb="FFFFFFFF"/>
        </patternFill>
      </fill>
    </dxf>
    <dxf>
      <fill>
        <patternFill>
          <bgColor rgb="FFFFCC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</font>
      <fill>
        <patternFill>
          <bgColor rgb="FF99FF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</font>
      <fill>
        <patternFill>
          <bgColor rgb="FFFFFF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FF"/>
        </patternFill>
      </fill>
      <border>
        <left/>
        <right/>
        <top/>
        <bottom/>
        <vertical/>
        <horizontal/>
      </border>
    </dxf>
    <dxf>
      <font>
        <strike/>
        <u val="double"/>
      </font>
      <fill>
        <gradientFill type="path" left="0.5" right="0.5" top="0.5" bottom="0.5">
          <stop position="0">
            <color rgb="FFFFFF00"/>
          </stop>
          <stop position="1">
            <color rgb="FFFF0000"/>
          </stop>
        </gradientFill>
      </fill>
    </dxf>
    <dxf>
      <fill>
        <patternFill>
          <bgColor rgb="FFFFCC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</font>
      <fill>
        <patternFill>
          <bgColor rgb="FFFFFFFF"/>
        </patternFill>
      </fill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ill>
        <patternFill>
          <bgColor rgb="FFFFFFFF"/>
        </patternFill>
      </fill>
      <border>
        <left/>
        <right/>
        <top/>
        <bottom/>
        <vertical/>
        <horizontal/>
      </border>
    </dxf>
    <dxf>
      <font>
        <strike val="0"/>
      </font>
      <fill>
        <patternFill>
          <bgColor rgb="FFFFFF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ill>
        <patternFill>
          <bgColor rgb="FFFFFFFF"/>
        </patternFill>
      </fill>
      <border>
        <left/>
        <right/>
        <top/>
        <bottom/>
        <vertical/>
        <horizontal/>
      </border>
    </dxf>
    <dxf>
      <fill>
        <patternFill>
          <bgColor rgb="FFFFFFFF"/>
        </patternFill>
      </fill>
      <border>
        <left/>
        <right/>
        <top/>
        <bottom/>
        <vertical/>
        <horizontal/>
      </border>
    </dxf>
    <dxf>
      <fill>
        <patternFill>
          <bgColor rgb="FFFFCC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/>
        <u val="double"/>
      </font>
      <fill>
        <gradientFill type="path" left="0.5" right="0.5" top="0.5" bottom="0.5">
          <stop position="0">
            <color rgb="FFFFFF00"/>
          </stop>
          <stop position="1">
            <color rgb="FFFF0000"/>
          </stop>
        </gradient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</font>
      <fill>
        <patternFill>
          <bgColor rgb="FFFFFF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</font>
      <fill>
        <patternFill>
          <bgColor rgb="FFFFFFFF"/>
        </patternFill>
      </fill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ill>
        <patternFill>
          <bgColor rgb="FFFFCC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</font>
      <fill>
        <patternFill>
          <bgColor rgb="FFFFFF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ill>
        <patternFill>
          <bgColor rgb="FFFFCC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</font>
      <fill>
        <patternFill>
          <bgColor rgb="FFFFFFFF"/>
        </patternFill>
      </fill>
      <border>
        <left/>
        <right/>
        <top/>
        <bottom/>
        <vertical/>
        <horizontal/>
      </border>
    </dxf>
    <dxf>
      <font>
        <strike val="0"/>
      </font>
      <fill>
        <patternFill>
          <bgColor rgb="FFFFFFFF"/>
        </patternFill>
      </fill>
      <border>
        <left/>
        <right/>
        <top/>
        <bottom/>
        <vertical/>
        <horizontal/>
      </border>
    </dxf>
    <dxf>
      <fill>
        <patternFill>
          <bgColor rgb="FFCCE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fgColor rgb="FFA0FFA0"/>
          <bgColor rgb="FFA0FF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</font>
      <fill>
        <patternFill>
          <bgColor rgb="FFFFFFFF"/>
        </patternFill>
      </fill>
      <border>
        <left/>
        <right/>
        <top/>
        <bottom/>
        <vertical/>
        <horizontal/>
      </border>
    </dxf>
    <dxf>
      <font>
        <strike val="0"/>
      </font>
      <fill>
        <patternFill>
          <bgColor rgb="FFFFFFFF"/>
        </patternFill>
      </fill>
      <border>
        <left/>
        <right/>
        <top/>
        <bottom/>
        <vertical/>
        <horizontal/>
      </border>
    </dxf>
    <dxf>
      <fill>
        <patternFill>
          <fgColor rgb="FFA0FFA0"/>
          <bgColor rgb="FFA0FF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rgb="FFA0FFA0"/>
          <bgColor rgb="FFA0FF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rgb="FFA0FFA0"/>
          <bgColor rgb="FFA0FF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A0FF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</font>
      <fill>
        <patternFill>
          <bgColor rgb="FFFFFFFF"/>
        </patternFill>
      </fill>
      <border>
        <left/>
        <right/>
        <top/>
        <bottom/>
        <vertical/>
        <horizontal/>
      </border>
    </dxf>
    <dxf>
      <font>
        <strike val="0"/>
      </font>
      <fill>
        <patternFill>
          <bgColor rgb="FFFFFFFF"/>
        </patternFill>
      </fill>
      <border>
        <left/>
        <right/>
        <top/>
        <bottom/>
        <vertical/>
        <horizontal/>
      </border>
    </dxf>
    <dxf>
      <fill>
        <patternFill>
          <bgColor rgb="FFCCE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A0FF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E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CE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A0FF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A0FF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</font>
      <fill>
        <patternFill>
          <bgColor rgb="FFFFFFFF"/>
        </patternFill>
      </fill>
      <border>
        <left/>
        <right/>
        <top/>
        <bottom/>
        <vertical/>
        <horizontal/>
      </border>
    </dxf>
    <dxf>
      <font>
        <strike val="0"/>
      </font>
      <fill>
        <patternFill>
          <bgColor rgb="FFFFFFFF"/>
        </patternFill>
      </fill>
      <border>
        <left/>
        <right/>
        <top/>
        <bottom/>
        <vertical/>
        <horizontal/>
      </border>
    </dxf>
    <dxf>
      <fill>
        <patternFill>
          <bgColor rgb="FFCCE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</font>
      <fill>
        <patternFill>
          <bgColor rgb="FF99FF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A0FF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A0FF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E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</font>
      <fill>
        <patternFill>
          <bgColor rgb="FFFFFFFF"/>
        </patternFill>
      </fill>
      <border>
        <left/>
        <right/>
        <top/>
        <bottom/>
        <vertical/>
        <horizontal/>
      </border>
    </dxf>
    <dxf>
      <font>
        <strike val="0"/>
      </font>
      <fill>
        <patternFill>
          <bgColor rgb="FFFFFFFF"/>
        </patternFill>
      </fill>
      <border>
        <left/>
        <right/>
        <top/>
        <bottom/>
        <vertical/>
        <horizontal/>
      </border>
    </dxf>
    <dxf>
      <font>
        <strike val="0"/>
      </font>
      <fill>
        <patternFill>
          <bgColor rgb="FFFFFFFF"/>
        </patternFill>
      </fill>
      <border>
        <left/>
        <right/>
        <top/>
        <bottom/>
        <vertical/>
        <horizontal/>
      </border>
    </dxf>
    <dxf>
      <fill>
        <patternFill>
          <bgColor rgb="FFCCE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A0FF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</font>
      <fill>
        <patternFill>
          <bgColor rgb="FFFFFFFF"/>
        </patternFill>
      </fill>
      <border>
        <left/>
        <right/>
        <top/>
        <bottom/>
        <vertical/>
        <horizontal/>
      </border>
    </dxf>
    <dxf>
      <fill>
        <patternFill>
          <bgColor rgb="FFA0FF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A0FF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</font>
      <fill>
        <patternFill>
          <bgColor rgb="FFFFFFFF"/>
        </patternFill>
      </fill>
      <border>
        <left/>
        <right/>
        <top/>
        <bottom/>
        <vertical/>
        <horizontal/>
      </border>
    </dxf>
    <dxf>
      <fill>
        <patternFill patternType="lightUp">
          <bgColor rgb="FFFF0000"/>
        </patternFill>
      </fill>
    </dxf>
    <dxf>
      <font>
        <strike val="0"/>
      </font>
      <fill>
        <patternFill>
          <bgColor rgb="FFFFFFFF"/>
        </patternFill>
      </fill>
      <border>
        <left/>
        <right/>
        <top/>
        <bottom/>
        <vertical/>
        <horizontal/>
      </border>
    </dxf>
    <dxf>
      <fill>
        <patternFill>
          <bgColor rgb="FFCCE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99FF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lightUp">
          <bgColor rgb="FFFF0000"/>
        </patternFill>
      </fill>
    </dxf>
    <dxf>
      <fill>
        <patternFill>
          <bgColor rgb="FFCCE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A0FF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FF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99FF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99FF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FF"/>
        </patternFill>
      </fill>
    </dxf>
    <dxf>
      <font>
        <strike val="0"/>
      </font>
      <fill>
        <gradientFill type="path" left="0.5" right="0.5" top="0.5" bottom="0.5">
          <stop position="0">
            <color rgb="FFFFFF00"/>
          </stop>
          <stop position="1">
            <color rgb="FFFF0000"/>
          </stop>
        </gradientFill>
      </fill>
    </dxf>
    <dxf>
      <fill>
        <patternFill>
          <bgColor rgb="FFFFFFFF"/>
        </patternFill>
      </fill>
    </dxf>
    <dxf>
      <font>
        <strike val="0"/>
      </font>
      <fill>
        <gradientFill type="path" left="0.5" right="0.5" top="0.5" bottom="0.5">
          <stop position="0">
            <color rgb="FFFFFF00"/>
          </stop>
          <stop position="1">
            <color rgb="FFFF0000"/>
          </stop>
        </gradientFill>
      </fill>
    </dxf>
    <dxf>
      <fill>
        <patternFill>
          <bgColor rgb="FFFFFFFF"/>
        </patternFill>
      </fill>
    </dxf>
    <dxf>
      <font>
        <strike val="0"/>
      </font>
      <fill>
        <gradientFill type="path" left="0.5" right="0.5" top="0.5" bottom="0.5">
          <stop position="0">
            <color rgb="FFFFFF00"/>
          </stop>
          <stop position="1">
            <color rgb="FFFF0000"/>
          </stop>
        </gradientFill>
      </fill>
    </dxf>
    <dxf>
      <fill>
        <patternFill>
          <bgColor rgb="FFFFFFFF"/>
        </patternFill>
      </fill>
    </dxf>
    <dxf>
      <font>
        <strike val="0"/>
      </font>
      <fill>
        <gradientFill type="path" left="0.5" right="0.5" top="0.5" bottom="0.5">
          <stop position="0">
            <color rgb="FFFFFF00"/>
          </stop>
          <stop position="1">
            <color rgb="FFFF0000"/>
          </stop>
        </gradientFill>
      </fill>
    </dxf>
    <dxf>
      <font>
        <strike val="0"/>
      </font>
      <fill>
        <patternFill>
          <bgColor rgb="FFFFFFFF"/>
        </patternFill>
      </fill>
      <border>
        <left/>
        <right/>
        <top/>
        <bottom/>
        <vertical/>
        <horizontal/>
      </border>
    </dxf>
    <dxf>
      <fill>
        <patternFill>
          <bgColor rgb="FFFFFFFF"/>
        </patternFill>
      </fill>
      <border>
        <left/>
        <right/>
        <top/>
        <bottom/>
        <vertical/>
        <horizontal/>
      </border>
    </dxf>
    <dxf>
      <fill>
        <patternFill>
          <bgColor rgb="FFFFFFFF"/>
        </patternFill>
      </fill>
      <border>
        <left/>
        <right/>
        <top/>
        <bottom/>
        <vertical/>
        <horizontal/>
      </border>
    </dxf>
    <dxf>
      <fill>
        <patternFill>
          <bgColor rgb="FFFFCC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/>
        <u val="double"/>
      </font>
      <fill>
        <gradientFill type="path" left="0.5" right="0.5" top="0.5" bottom="0.5">
          <stop position="0">
            <color rgb="FFFFFF00"/>
          </stop>
          <stop position="1">
            <color rgb="FFFF0000"/>
          </stop>
        </gradientFill>
      </fill>
    </dxf>
    <dxf>
      <font>
        <strike val="0"/>
      </font>
      <fill>
        <patternFill>
          <bgColor rgb="FFFFFFFF"/>
        </patternFill>
      </fill>
      <border>
        <left/>
        <right/>
        <top/>
        <bottom/>
        <vertical/>
        <horizontal/>
      </border>
    </dxf>
    <dxf>
      <fill>
        <patternFill>
          <bgColor rgb="FFFFCC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FF"/>
        </patternFill>
      </fill>
      <border>
        <left/>
        <right/>
        <top/>
        <bottom/>
        <vertical/>
        <horizontal/>
      </border>
    </dxf>
    <dxf>
      <fill>
        <patternFill>
          <bgColor rgb="FFFFCC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FF"/>
        </patternFill>
      </fill>
      <border>
        <left/>
        <right/>
        <top/>
        <bottom/>
        <vertical/>
        <horizontal/>
      </border>
    </dxf>
    <dxf>
      <font>
        <strike/>
        <u val="double"/>
      </font>
      <fill>
        <gradientFill type="path" left="0.5" right="0.5" top="0.5" bottom="0.5">
          <stop position="0">
            <color rgb="FFFFFF00"/>
          </stop>
          <stop position="1">
            <color rgb="FFFF0000"/>
          </stop>
        </gradientFill>
      </fill>
    </dxf>
    <dxf>
      <fill>
        <patternFill>
          <bgColor rgb="FFFFFFFF"/>
        </patternFill>
      </fill>
      <border>
        <left/>
        <right/>
        <top/>
        <bottom/>
        <vertical/>
        <horizontal/>
      </border>
    </dxf>
    <dxf>
      <font>
        <strike val="0"/>
      </font>
      <fill>
        <patternFill>
          <bgColor rgb="FFFFFFFF"/>
        </patternFill>
      </fill>
    </dxf>
    <dxf>
      <fill>
        <patternFill>
          <bgColor rgb="FFFFCC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</font>
      <fill>
        <patternFill>
          <bgColor rgb="FFFFFF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</font>
      <fill>
        <patternFill>
          <bgColor rgb="FF99FF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/>
        <u val="double"/>
      </font>
      <fill>
        <gradientFill type="path" left="0.5" right="0.5" top="0.5" bottom="0.5">
          <stop position="0">
            <color rgb="FFFFFF00"/>
          </stop>
          <stop position="1">
            <color rgb="FFFF0000"/>
          </stop>
        </gradientFill>
      </fill>
    </dxf>
    <dxf>
      <fill>
        <patternFill>
          <bgColor rgb="FFFFCC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FF"/>
        </patternFill>
      </fill>
      <border>
        <left/>
        <right/>
        <top/>
        <bottom/>
        <vertical/>
        <horizontal/>
      </border>
    </dxf>
    <dxf>
      <fill>
        <patternFill>
          <bgColor rgb="FFFFFFFF"/>
        </patternFill>
      </fill>
      <border>
        <left/>
        <right/>
        <top/>
        <bottom/>
        <vertical/>
        <horizontal/>
      </border>
    </dxf>
    <dxf>
      <font>
        <strike val="0"/>
      </font>
      <fill>
        <patternFill>
          <bgColor rgb="FFFFFFFF"/>
        </patternFill>
      </fill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strike val="0"/>
      </font>
      <fill>
        <patternFill>
          <bgColor rgb="FFFFFF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ill>
        <patternFill>
          <bgColor rgb="FFFFCC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/>
        <u val="double"/>
      </font>
      <fill>
        <gradientFill type="path" left="0.5" right="0.5" top="0.5" bottom="0.5">
          <stop position="0">
            <color rgb="FFFFFF00"/>
          </stop>
          <stop position="1">
            <color rgb="FFFF0000"/>
          </stop>
        </gradientFill>
      </fill>
    </dxf>
    <dxf>
      <fill>
        <patternFill>
          <bgColor rgb="FFFFFFFF"/>
        </patternFill>
      </fill>
      <border>
        <left/>
        <right/>
        <top/>
        <bottom/>
        <vertical/>
        <horizontal/>
      </border>
    </dxf>
    <dxf>
      <fill>
        <patternFill>
          <bgColor rgb="FFFFFFFF"/>
        </patternFill>
      </fill>
      <border>
        <left/>
        <right/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</font>
      <fill>
        <patternFill>
          <bgColor rgb="FFFFFF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</font>
      <fill>
        <patternFill>
          <bgColor rgb="FF99FF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FF"/>
        </patternFill>
      </fill>
      <border>
        <left/>
        <right/>
        <top/>
        <bottom/>
        <vertical/>
        <horizontal/>
      </border>
    </dxf>
    <dxf>
      <font>
        <strike/>
        <u val="double"/>
      </font>
      <fill>
        <gradientFill type="path" left="0.5" right="0.5" top="0.5" bottom="0.5">
          <stop position="0">
            <color rgb="FFFFFF00"/>
          </stop>
          <stop position="1">
            <color rgb="FFFF0000"/>
          </stop>
        </gradientFill>
      </fill>
    </dxf>
    <dxf>
      <fill>
        <patternFill>
          <bgColor rgb="FFFFFFFF"/>
        </patternFill>
      </fill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ill>
        <patternFill>
          <bgColor rgb="FFFFCC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FF"/>
        </patternFill>
      </fill>
      <border>
        <left/>
        <right/>
        <top/>
        <bottom/>
        <vertical/>
        <horizontal/>
      </border>
    </dxf>
    <dxf>
      <font>
        <strike val="0"/>
      </font>
      <fill>
        <patternFill>
          <bgColor rgb="FFFFFF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strike/>
        <u val="double"/>
      </font>
      <fill>
        <gradientFill type="path" left="0.5" right="0.5" top="0.5" bottom="0.5">
          <stop position="0">
            <color rgb="FFFFFF00"/>
          </stop>
          <stop position="1">
            <color rgb="FFFF0000"/>
          </stop>
        </gradientFill>
      </fill>
    </dxf>
    <dxf>
      <fill>
        <patternFill>
          <bgColor rgb="FFFFFFFF"/>
        </patternFill>
      </fill>
      <border>
        <left/>
        <right/>
        <top/>
        <bottom/>
        <vertical/>
        <horizontal/>
      </border>
    </dxf>
    <dxf>
      <fill>
        <patternFill>
          <bgColor rgb="FFFFFFFF"/>
        </patternFill>
      </fill>
      <border>
        <left/>
        <right/>
        <top/>
        <bottom/>
        <vertical/>
        <horizontal/>
      </border>
    </dxf>
    <dxf>
      <fill>
        <patternFill>
          <bgColor rgb="FFFFCC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</font>
      <fill>
        <patternFill>
          <bgColor rgb="FFFFFF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</font>
      <fill>
        <patternFill>
          <bgColor rgb="FFFFFFFF"/>
        </patternFill>
      </fill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ill>
        <patternFill>
          <bgColor rgb="FFFFCC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</font>
      <fill>
        <patternFill>
          <bgColor rgb="FFFFFF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ill>
        <patternFill>
          <bgColor rgb="FFFFCC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</font>
      <fill>
        <patternFill>
          <bgColor rgb="FFFFFF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</font>
      <fill>
        <patternFill>
          <bgColor rgb="FFFFFFFF"/>
        </patternFill>
      </fill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ill>
        <patternFill>
          <bgColor rgb="FFFFCC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ill>
        <patternFill>
          <bgColor rgb="FFFFCC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CC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FF"/>
        </patternFill>
      </fill>
    </dxf>
    <dxf>
      <font>
        <strike val="0"/>
      </font>
      <fill>
        <patternFill>
          <bgColor rgb="FFFFFFFF"/>
        </patternFill>
      </fill>
      <border>
        <left/>
        <right/>
        <top/>
        <bottom/>
        <vertical/>
        <horizontal/>
      </border>
    </dxf>
    <dxf>
      <fill>
        <patternFill patternType="lightUp">
          <bgColor rgb="FFFF0000"/>
        </patternFill>
      </fill>
    </dxf>
    <dxf>
      <fill>
        <patternFill>
          <bgColor rgb="FF99FF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CE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</font>
      <fill>
        <patternFill>
          <bgColor rgb="FFFFFFFF"/>
        </patternFill>
      </fill>
      <border>
        <left/>
        <right/>
        <top/>
        <bottom/>
        <vertical/>
        <horizontal/>
      </border>
    </dxf>
    <dxf>
      <fill>
        <patternFill>
          <fgColor rgb="FFA0FFA0"/>
          <bgColor rgb="FFA0FF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E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rgb="FFA0FFA0"/>
          <bgColor rgb="FFA0FF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fgColor rgb="FFA0FFA0"/>
          <bgColor rgb="FFA0FF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</font>
      <fill>
        <patternFill>
          <bgColor rgb="FFFFFFFF"/>
        </patternFill>
      </fill>
      <border>
        <left/>
        <right/>
        <top/>
        <bottom/>
        <vertical/>
        <horizontal/>
      </border>
    </dxf>
    <dxf>
      <fill>
        <patternFill>
          <bgColor rgb="FFA0FF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E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rgb="FFA0FFA0"/>
          <bgColor rgb="FFA0FF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</font>
      <fill>
        <patternFill>
          <bgColor rgb="FFFFFFFF"/>
        </patternFill>
      </fill>
      <border>
        <left/>
        <right/>
        <top/>
        <bottom/>
        <vertical/>
        <horizontal/>
      </border>
    </dxf>
    <dxf>
      <fill>
        <patternFill>
          <bgColor rgb="FFA0FF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E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</font>
      <fill>
        <patternFill>
          <bgColor rgb="FFFFFFFF"/>
        </patternFill>
      </fill>
      <border>
        <left/>
        <right/>
        <top/>
        <bottom/>
        <vertical/>
        <horizontal/>
      </border>
    </dxf>
    <dxf>
      <fill>
        <patternFill>
          <bgColor rgb="FFCCE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A0FF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</font>
      <fill>
        <patternFill>
          <bgColor rgb="FFFFFFFF"/>
        </patternFill>
      </fill>
      <border>
        <left/>
        <right/>
        <top/>
        <bottom/>
        <vertical/>
        <horizontal/>
      </border>
    </dxf>
    <dxf>
      <fill>
        <patternFill>
          <bgColor rgb="FFCCE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A0FF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</font>
      <fill>
        <patternFill>
          <bgColor rgb="FFFFFFFF"/>
        </patternFill>
      </fill>
      <border>
        <left/>
        <right/>
        <top/>
        <bottom/>
        <vertical/>
        <horizontal/>
      </border>
    </dxf>
    <dxf>
      <font>
        <strike val="0"/>
      </font>
      <fill>
        <patternFill>
          <bgColor rgb="FFFFFFFF"/>
        </patternFill>
      </fill>
      <border>
        <left/>
        <right/>
        <top/>
        <bottom/>
        <vertical/>
        <horizontal/>
      </border>
    </dxf>
    <dxf>
      <fill>
        <patternFill>
          <bgColor rgb="FFCCE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A0FF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</font>
      <fill>
        <patternFill>
          <bgColor rgb="FF99FF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rgb="FFCCECFF"/>
          <bgColor rgb="FFCCE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A0FF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</font>
      <fill>
        <patternFill>
          <bgColor rgb="FFFFFFFF"/>
        </patternFill>
      </fill>
      <border>
        <left/>
        <right/>
        <top/>
        <bottom/>
        <vertical/>
        <horizontal/>
      </border>
    </dxf>
    <dxf>
      <font>
        <strike val="0"/>
      </font>
      <fill>
        <patternFill>
          <bgColor rgb="FFFFFFFF"/>
        </patternFill>
      </fill>
      <border>
        <left/>
        <right/>
        <top/>
        <bottom/>
        <vertical/>
        <horizontal/>
      </border>
    </dxf>
    <dxf>
      <font>
        <strike val="0"/>
      </font>
      <fill>
        <patternFill>
          <bgColor rgb="FFFFFFFF"/>
        </patternFill>
      </fill>
      <border>
        <left/>
        <right/>
        <top/>
        <bottom/>
        <vertical/>
        <horizontal/>
      </border>
    </dxf>
    <dxf>
      <fill>
        <patternFill>
          <bgColor rgb="FF99FF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</font>
      <fill>
        <patternFill>
          <bgColor rgb="FFFFFFFF"/>
        </patternFill>
      </fill>
      <border>
        <left/>
        <right/>
        <top/>
        <bottom/>
        <vertical/>
        <horizontal/>
      </border>
    </dxf>
    <dxf>
      <font>
        <strike val="0"/>
      </font>
      <fill>
        <patternFill>
          <bgColor rgb="FFFFFFFF"/>
        </patternFill>
      </fill>
      <border>
        <left/>
        <right/>
        <top/>
        <bottom/>
        <vertical/>
        <horizontal/>
      </border>
    </dxf>
    <dxf>
      <fill>
        <patternFill patternType="lightUp">
          <bgColor rgb="FFFF0000"/>
        </patternFill>
      </fill>
    </dxf>
    <dxf>
      <fill>
        <patternFill>
          <bgColor rgb="FFCCE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</font>
      <fill>
        <patternFill>
          <bgColor rgb="FFFFFFFF"/>
        </patternFill>
      </fill>
      <border>
        <left/>
        <right/>
        <top/>
        <bottom/>
        <vertical/>
        <horizontal/>
      </border>
    </dxf>
    <dxf>
      <fill>
        <patternFill>
          <bgColor rgb="FF99FF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lightUp">
          <bgColor rgb="FFFF0000"/>
        </patternFill>
      </fill>
    </dxf>
    <dxf>
      <font>
        <strike val="0"/>
      </font>
      <fill>
        <patternFill>
          <bgColor rgb="FFFFFFFF"/>
        </patternFill>
      </fill>
      <border>
        <left/>
        <right/>
        <top/>
        <bottom/>
        <vertical/>
        <horizontal/>
      </border>
    </dxf>
    <dxf>
      <fill>
        <patternFill>
          <bgColor rgb="FFCCE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E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fgColor rgb="FFA0FFA0"/>
          <bgColor rgb="FFA0FF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rgb="FFA0FFA0"/>
          <bgColor rgb="FFA0FF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</font>
      <fill>
        <patternFill>
          <bgColor rgb="FFFFFFFF"/>
        </patternFill>
      </fill>
      <border>
        <left/>
        <right/>
        <top/>
        <bottom/>
        <vertical/>
        <horizontal/>
      </border>
    </dxf>
    <dxf>
      <fill>
        <patternFill>
          <fgColor rgb="FFA0FFA0"/>
          <bgColor rgb="FFA0FF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</font>
      <fill>
        <patternFill>
          <bgColor rgb="FFFFFFFF"/>
        </patternFill>
      </fill>
      <border>
        <left/>
        <right/>
        <top/>
        <bottom/>
        <vertical/>
        <horizontal/>
      </border>
    </dxf>
    <dxf>
      <font>
        <strike val="0"/>
      </font>
      <fill>
        <patternFill>
          <bgColor rgb="FFFFFFFF"/>
        </patternFill>
      </fill>
      <border>
        <left/>
        <right/>
        <top/>
        <bottom/>
        <vertical/>
        <horizontal/>
      </border>
    </dxf>
    <dxf>
      <fill>
        <patternFill>
          <bgColor rgb="FFCCE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CE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A0FF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rgb="FFA0FFA0"/>
          <bgColor rgb="FFA0FF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</font>
      <fill>
        <patternFill>
          <bgColor rgb="FFFFFFFF"/>
        </patternFill>
      </fill>
      <border>
        <left/>
        <right/>
        <top/>
        <bottom/>
        <vertical/>
        <horizontal/>
      </border>
    </dxf>
    <dxf>
      <fill>
        <patternFill>
          <bgColor rgb="FFA0FF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E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A0FF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</font>
      <fill>
        <patternFill>
          <bgColor rgb="FFFFFFFF"/>
        </patternFill>
      </fill>
      <border>
        <left/>
        <right/>
        <top/>
        <bottom/>
        <vertical/>
        <horizontal/>
      </border>
    </dxf>
    <dxf>
      <fill>
        <patternFill>
          <bgColor rgb="FFA0FF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E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</font>
      <fill>
        <patternFill>
          <bgColor rgb="FFFFFFFF"/>
        </patternFill>
      </fill>
      <border>
        <left/>
        <right/>
        <top/>
        <bottom/>
        <vertical/>
        <horizontal/>
      </border>
    </dxf>
    <dxf>
      <font>
        <strike val="0"/>
      </font>
      <fill>
        <patternFill>
          <bgColor rgb="FF99FF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</font>
      <fill>
        <patternFill>
          <bgColor rgb="FFFFFFFF"/>
        </patternFill>
      </fill>
      <border>
        <left/>
        <right/>
        <top/>
        <bottom/>
        <vertical/>
        <horizontal/>
      </border>
    </dxf>
    <dxf>
      <fill>
        <patternFill>
          <bgColor rgb="FFA0FF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E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</font>
      <fill>
        <patternFill>
          <bgColor rgb="FFFFFFFF"/>
        </patternFill>
      </fill>
      <border>
        <left/>
        <right/>
        <top/>
        <bottom/>
        <vertical/>
        <horizontal/>
      </border>
    </dxf>
    <dxf>
      <fill>
        <patternFill>
          <bgColor rgb="FFCCE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A0FF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A0FF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</font>
      <fill>
        <patternFill>
          <bgColor rgb="FFFFFFFF"/>
        </patternFill>
      </fill>
      <border>
        <left/>
        <right/>
        <top/>
        <bottom/>
        <vertical/>
        <horizontal/>
      </border>
    </dxf>
    <dxf>
      <font>
        <strike val="0"/>
      </font>
      <fill>
        <patternFill>
          <bgColor rgb="FFFFFFFF"/>
        </patternFill>
      </fill>
      <border>
        <left/>
        <right/>
        <top/>
        <bottom/>
        <vertical/>
        <horizontal/>
      </border>
    </dxf>
    <dxf>
      <fill>
        <patternFill>
          <bgColor rgb="FFA0FF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A0FF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E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lightUp">
          <bgColor rgb="FFFF0000"/>
        </patternFill>
      </fill>
    </dxf>
    <dxf>
      <font>
        <strike val="0"/>
      </font>
      <fill>
        <patternFill>
          <bgColor rgb="FFFFFFFF"/>
        </patternFill>
      </fill>
      <border>
        <left/>
        <right/>
        <top/>
        <bottom/>
        <vertical/>
        <horizontal/>
      </border>
    </dxf>
    <dxf>
      <font>
        <strike val="0"/>
      </font>
      <fill>
        <patternFill>
          <bgColor rgb="FFFFFFFF"/>
        </patternFill>
      </fill>
      <border>
        <left/>
        <right/>
        <top/>
        <bottom/>
        <vertical/>
        <horizontal/>
      </border>
    </dxf>
    <dxf>
      <fill>
        <patternFill>
          <bgColor rgb="FFCCE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99FF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A0FF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A0FF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A0FF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E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99FF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99FF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</font>
      <fill>
        <gradientFill type="path" left="0.5" right="0.5" top="0.5" bottom="0.5">
          <stop position="0">
            <color rgb="FFFFFF00"/>
          </stop>
          <stop position="1">
            <color rgb="FFFF0000"/>
          </stop>
        </gradient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ont>
        <strike val="0"/>
      </font>
      <fill>
        <gradientFill type="path" left="0.5" right="0.5" top="0.5" bottom="0.5">
          <stop position="0">
            <color rgb="FFFFFF00"/>
          </stop>
          <stop position="1">
            <color rgb="FFFF0000"/>
          </stop>
        </gradient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ont>
        <strike val="0"/>
      </font>
      <fill>
        <gradientFill type="path" left="0.5" right="0.5" top="0.5" bottom="0.5">
          <stop position="0">
            <color rgb="FFFFFF00"/>
          </stop>
          <stop position="1">
            <color rgb="FFFF0000"/>
          </stop>
        </gradientFill>
      </fill>
    </dxf>
    <dxf>
      <font>
        <strike val="0"/>
      </font>
      <fill>
        <patternFill>
          <bgColor rgb="FFFFFFFF"/>
        </patternFill>
      </fill>
      <border>
        <left/>
        <right/>
        <top/>
        <bottom/>
        <vertical/>
        <horizontal/>
      </border>
    </dxf>
    <dxf>
      <fill>
        <patternFill>
          <bgColor rgb="FFFFCC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/>
        <u val="double"/>
      </font>
      <fill>
        <gradientFill type="path" left="0.5" right="0.5" top="0.5" bottom="0.5">
          <stop position="0">
            <color rgb="FFFFFF00"/>
          </stop>
          <stop position="1">
            <color rgb="FFFF0000"/>
          </stop>
        </gradientFill>
      </fill>
    </dxf>
    <dxf>
      <fill>
        <patternFill>
          <bgColor rgb="FFFFFFFF"/>
        </patternFill>
      </fill>
      <border>
        <left/>
        <right/>
        <top/>
        <bottom/>
        <vertical/>
        <horizontal/>
      </border>
    </dxf>
    <dxf>
      <fill>
        <patternFill>
          <bgColor rgb="FFFFFFFF"/>
        </patternFill>
      </fill>
      <border>
        <left/>
        <right/>
        <top/>
        <bottom/>
        <vertical/>
        <horizontal/>
      </border>
    </dxf>
    <dxf>
      <font>
        <strike val="0"/>
      </font>
      <fill>
        <patternFill>
          <bgColor rgb="FFFFFFFF"/>
        </patternFill>
      </fill>
      <border>
        <left/>
        <right/>
        <top/>
        <bottom/>
        <vertical/>
        <horizontal/>
      </border>
    </dxf>
    <dxf>
      <fill>
        <patternFill>
          <bgColor rgb="FFFFCC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FF"/>
        </patternFill>
      </fill>
    </dxf>
    <dxf>
      <fill>
        <patternFill>
          <bgColor rgb="FFFFFFFF"/>
        </patternFill>
      </fill>
      <border>
        <left/>
        <right/>
        <top/>
        <bottom/>
        <vertical/>
        <horizontal/>
      </border>
    </dxf>
    <dxf>
      <font>
        <strike/>
        <u val="double"/>
      </font>
      <fill>
        <gradientFill type="path" left="0.5" right="0.5" top="0.5" bottom="0.5">
          <stop position="0">
            <color rgb="FFFFFF00"/>
          </stop>
          <stop position="1">
            <color rgb="FFFF0000"/>
          </stop>
        </gradientFill>
      </fill>
    </dxf>
    <dxf>
      <fill>
        <patternFill>
          <bgColor rgb="FFFFFFFF"/>
        </patternFill>
      </fill>
      <border>
        <left/>
        <right/>
        <top/>
        <bottom/>
        <vertical/>
        <horizontal/>
      </border>
    </dxf>
    <dxf>
      <fill>
        <patternFill>
          <bgColor rgb="FFFFCC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</font>
      <fill>
        <patternFill>
          <bgColor rgb="FFFFFFFF"/>
        </patternFill>
      </fill>
    </dxf>
    <dxf>
      <fill>
        <patternFill>
          <bgColor rgb="FFFFCC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</font>
      <fill>
        <patternFill>
          <bgColor rgb="FFFFFF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</font>
      <fill>
        <patternFill>
          <bgColor rgb="FF99FF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FF"/>
        </patternFill>
      </fill>
      <border>
        <left/>
        <right/>
        <top/>
        <bottom/>
        <vertical/>
        <horizontal/>
      </border>
    </dxf>
    <dxf>
      <fill>
        <patternFill>
          <bgColor rgb="FFFFCC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</font>
      <fill>
        <patternFill>
          <bgColor rgb="FFFFFFFF"/>
        </patternFill>
      </fill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ill>
        <patternFill>
          <bgColor rgb="FFFFFFFF"/>
        </patternFill>
      </fill>
      <border>
        <left/>
        <right/>
        <top/>
        <bottom/>
        <vertical/>
        <horizontal/>
      </border>
    </dxf>
    <dxf>
      <font>
        <strike/>
        <u val="double"/>
      </font>
      <fill>
        <gradientFill type="path" left="0.5" right="0.5" top="0.5" bottom="0.5">
          <stop position="0">
            <color rgb="FFFFFF00"/>
          </stop>
          <stop position="1">
            <color rgb="FFFF0000"/>
          </stop>
        </gradientFill>
      </fill>
    </dxf>
    <dxf>
      <font>
        <strike val="0"/>
      </font>
      <fill>
        <patternFill>
          <bgColor rgb="FFFFFF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ill>
        <patternFill>
          <bgColor rgb="FFFFFFFF"/>
        </patternFill>
      </fill>
      <border>
        <left/>
        <right/>
        <top/>
        <bottom/>
        <vertical/>
        <horizontal/>
      </border>
    </dxf>
    <dxf>
      <fill>
        <patternFill>
          <bgColor rgb="FFFFCC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/>
        <u val="double"/>
      </font>
      <fill>
        <gradientFill type="path" left="0.5" right="0.5" top="0.5" bottom="0.5">
          <stop position="0">
            <color rgb="FFFFFF00"/>
          </stop>
          <stop position="1">
            <color rgb="FFFF0000"/>
          </stop>
        </gradientFill>
      </fill>
    </dxf>
    <dxf>
      <fill>
        <patternFill>
          <bgColor rgb="FFFFFFFF"/>
        </patternFill>
      </fill>
      <border>
        <left/>
        <right/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</font>
      <fill>
        <patternFill>
          <bgColor rgb="FF99FF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</font>
      <fill>
        <patternFill>
          <bgColor rgb="FFFFFF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/>
        <u val="double"/>
      </font>
      <fill>
        <gradientFill type="path" left="0.5" right="0.5" top="0.5" bottom="0.5">
          <stop position="0">
            <color rgb="FFFFFF00"/>
          </stop>
          <stop position="1">
            <color rgb="FFFF0000"/>
          </stop>
        </gradientFill>
      </fill>
    </dxf>
    <dxf>
      <fill>
        <patternFill>
          <bgColor rgb="FFFFFFFF"/>
        </patternFill>
      </fill>
      <border>
        <left/>
        <right/>
        <top/>
        <bottom/>
        <vertical/>
        <horizontal/>
      </border>
    </dxf>
    <dxf>
      <fill>
        <patternFill>
          <bgColor rgb="FFFFCC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</font>
      <fill>
        <patternFill>
          <bgColor rgb="FFFFFFFF"/>
        </patternFill>
      </fill>
      <border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ill>
        <patternFill>
          <bgColor rgb="FFFFFFFF"/>
        </patternFill>
      </fill>
      <border>
        <left/>
        <right/>
        <top/>
        <bottom/>
        <vertical/>
        <horizontal/>
      </border>
    </dxf>
    <dxf>
      <font>
        <strike val="0"/>
      </font>
      <fill>
        <patternFill>
          <bgColor rgb="FFFFFF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ill>
        <patternFill>
          <bgColor rgb="FFFFFFFF"/>
        </patternFill>
      </fill>
      <border>
        <left/>
        <right/>
        <top/>
        <bottom/>
        <vertical/>
        <horizontal/>
      </border>
    </dxf>
    <dxf>
      <fill>
        <patternFill>
          <bgColor rgb="FFFFCC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FF"/>
        </patternFill>
      </fill>
      <border>
        <left/>
        <right/>
        <top/>
        <bottom/>
        <vertical/>
        <horizontal/>
      </border>
    </dxf>
    <dxf>
      <font>
        <strike/>
        <u val="double"/>
      </font>
      <fill>
        <gradientFill type="path" left="0.5" right="0.5" top="0.5" bottom="0.5">
          <stop position="0">
            <color rgb="FFFFFF00"/>
          </stop>
          <stop position="1">
            <color rgb="FFFF0000"/>
          </stop>
        </gradient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</font>
      <fill>
        <patternFill>
          <bgColor rgb="FFFFFF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</font>
      <fill>
        <patternFill>
          <bgColor rgb="FFFFFFFF"/>
        </patternFill>
      </fill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ill>
        <patternFill>
          <bgColor rgb="FFFFCC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</font>
      <fill>
        <patternFill>
          <bgColor rgb="FFFFFF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strike val="0"/>
      </font>
      <fill>
        <patternFill>
          <bgColor rgb="FF99FF99"/>
        </patternFill>
      </fill>
    </dxf>
    <dxf>
      <font>
        <strike val="0"/>
      </font>
      <fill>
        <patternFill>
          <bgColor rgb="FFFFFF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FF"/>
        </patternFill>
      </fill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strike val="0"/>
      </font>
      <fill>
        <patternFill>
          <bgColor rgb="FFFFFF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ill>
        <patternFill>
          <bgColor rgb="FFFFCC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lightUp">
          <bgColor rgb="FFFF0000"/>
        </patternFill>
      </fill>
    </dxf>
    <dxf>
      <font>
        <strike val="0"/>
      </font>
      <fill>
        <patternFill>
          <bgColor rgb="FFFFFFFF"/>
        </patternFill>
      </fill>
      <border>
        <left/>
        <right/>
        <top/>
        <bottom/>
        <vertical/>
        <horizontal/>
      </border>
    </dxf>
    <dxf>
      <font>
        <strike val="0"/>
      </font>
      <fill>
        <patternFill>
          <bgColor rgb="FFFFFFFF"/>
        </patternFill>
      </fill>
      <border>
        <left/>
        <right/>
        <top/>
        <bottom/>
        <vertical/>
        <horizontal/>
      </border>
    </dxf>
    <dxf>
      <fill>
        <patternFill>
          <bgColor rgb="FF99FF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CE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fgColor rgb="FFA0FFA0"/>
          <bgColor rgb="FFA0FF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</font>
      <fill>
        <patternFill>
          <bgColor rgb="FFFFFFFF"/>
        </patternFill>
      </fill>
      <border>
        <left/>
        <right/>
        <top/>
        <bottom/>
        <vertical/>
        <horizontal/>
      </border>
    </dxf>
    <dxf>
      <font>
        <strike val="0"/>
      </font>
      <fill>
        <patternFill>
          <bgColor rgb="FFFFFFFF"/>
        </patternFill>
      </fill>
      <border>
        <left/>
        <right/>
        <top/>
        <bottom/>
        <vertical/>
        <horizontal/>
      </border>
    </dxf>
    <dxf>
      <fill>
        <patternFill>
          <bgColor rgb="FFCCE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fgColor rgb="FFA0FFA0"/>
          <bgColor rgb="FFA0FF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rgb="FFA0FFA0"/>
          <bgColor rgb="FFA0FF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rgb="FFA0FFA0"/>
          <bgColor rgb="FFA0FF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A0FF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E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</font>
      <fill>
        <patternFill>
          <bgColor rgb="FFFFFFFF"/>
        </patternFill>
      </fill>
      <border>
        <left/>
        <right/>
        <top/>
        <bottom/>
        <vertical/>
        <horizontal/>
      </border>
    </dxf>
    <dxf>
      <font>
        <strike val="0"/>
      </font>
      <fill>
        <patternFill>
          <bgColor rgb="FFFFFFFF"/>
        </patternFill>
      </fill>
      <border>
        <left/>
        <right/>
        <top/>
        <bottom/>
        <vertical/>
        <horizontal/>
      </border>
    </dxf>
    <dxf>
      <fill>
        <patternFill>
          <bgColor rgb="FFCCE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CE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A0FF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</font>
      <fill>
        <patternFill>
          <bgColor rgb="FFFFFFFF"/>
        </patternFill>
      </fill>
      <border>
        <left/>
        <right/>
        <top/>
        <bottom/>
        <vertical/>
        <horizontal/>
      </border>
    </dxf>
    <dxf>
      <fill>
        <patternFill>
          <bgColor rgb="FFA0FF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</font>
      <fill>
        <patternFill>
          <bgColor rgb="FFFFFFFF"/>
        </patternFill>
      </fill>
      <border>
        <left/>
        <right/>
        <top/>
        <bottom/>
        <vertical/>
        <horizontal/>
      </border>
    </dxf>
    <dxf>
      <fill>
        <patternFill>
          <bgColor rgb="FFCCE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A0FF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E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</font>
      <fill>
        <patternFill>
          <bgColor rgb="FF99FF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A0FF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</font>
      <fill>
        <patternFill>
          <bgColor rgb="FFFFFFFF"/>
        </patternFill>
      </fill>
      <border>
        <left/>
        <right/>
        <top/>
        <bottom/>
        <vertical/>
        <horizontal/>
      </border>
    </dxf>
    <dxf>
      <fill>
        <patternFill patternType="solid">
          <fgColor rgb="FFCCECFF"/>
          <bgColor rgb="FFCCE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</font>
      <fill>
        <patternFill>
          <bgColor rgb="FFFFFFFF"/>
        </patternFill>
      </fill>
      <border>
        <left/>
        <right/>
        <top/>
        <bottom/>
        <vertical/>
        <horizontal/>
      </border>
    </dxf>
    <dxf>
      <fill>
        <patternFill>
          <bgColor rgb="FFA0FF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E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A0FF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A0FF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A0FF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</font>
      <fill>
        <patternFill>
          <bgColor rgb="FFFFFFFF"/>
        </patternFill>
      </fill>
      <border>
        <left/>
        <right/>
        <top/>
        <bottom/>
        <vertical/>
        <horizontal/>
      </border>
    </dxf>
    <dxf>
      <font>
        <strike val="0"/>
      </font>
      <fill>
        <patternFill>
          <bgColor rgb="FFFFFFFF"/>
        </patternFill>
      </fill>
      <border>
        <left/>
        <right/>
        <top/>
        <bottom/>
        <vertical/>
        <horizontal/>
      </border>
    </dxf>
    <dxf>
      <fill>
        <patternFill>
          <bgColor rgb="FFCCE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</font>
      <fill>
        <patternFill>
          <bgColor rgb="FFFFFFFF"/>
        </patternFill>
      </fill>
      <border>
        <left/>
        <right/>
        <top/>
        <bottom/>
        <vertical/>
        <horizontal/>
      </border>
    </dxf>
    <dxf>
      <fill>
        <patternFill>
          <bgColor rgb="FF99FF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lightUp">
          <bgColor rgb="FFFF0000"/>
        </patternFill>
      </fill>
    </dxf>
    <dxf>
      <font>
        <strike val="0"/>
      </font>
      <fill>
        <patternFill>
          <bgColor rgb="FFFFFFFF"/>
        </patternFill>
      </fill>
      <border>
        <left/>
        <right/>
        <top/>
        <bottom/>
        <vertical/>
        <horizontal/>
      </border>
    </dxf>
    <dxf>
      <font>
        <strike val="0"/>
      </font>
      <fill>
        <patternFill>
          <bgColor rgb="FFFFFFFF"/>
        </patternFill>
      </fill>
      <border>
        <left/>
        <right/>
        <top/>
        <bottom/>
        <vertical/>
        <horizontal/>
      </border>
    </dxf>
    <dxf>
      <font>
        <strike val="0"/>
      </font>
      <fill>
        <patternFill>
          <bgColor rgb="FFFFFFFF"/>
        </patternFill>
      </fill>
      <border>
        <left/>
        <right/>
        <top/>
        <bottom/>
        <vertical/>
        <horizontal/>
      </border>
    </dxf>
    <dxf>
      <fill>
        <patternFill patternType="solid">
          <fgColor rgb="FFA0FFA0"/>
          <bgColor rgb="FFA0FF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fgColor rgb="FFA0FFA0"/>
          <bgColor rgb="FFA0FF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</font>
      <fill>
        <patternFill>
          <bgColor rgb="FFFFFFFF"/>
        </patternFill>
      </fill>
      <border>
        <left/>
        <right/>
        <top/>
        <bottom/>
        <vertical/>
        <horizontal/>
      </border>
    </dxf>
    <dxf>
      <font>
        <strike val="0"/>
      </font>
      <fill>
        <patternFill>
          <bgColor rgb="FFFFFFFF"/>
        </patternFill>
      </fill>
      <border>
        <left/>
        <right/>
        <top/>
        <bottom/>
        <vertical/>
        <horizontal/>
      </border>
    </dxf>
    <dxf>
      <fill>
        <patternFill>
          <bgColor rgb="FFCCE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fgColor rgb="FFA0FFA0"/>
          <bgColor rgb="FFA0FF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A0FF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</font>
      <fill>
        <patternFill>
          <bgColor rgb="FFFFFFFF"/>
        </patternFill>
      </fill>
      <border>
        <left/>
        <right/>
        <top/>
        <bottom/>
        <vertical/>
        <horizontal/>
      </border>
    </dxf>
    <dxf>
      <font>
        <strike val="0"/>
      </font>
      <fill>
        <patternFill>
          <bgColor rgb="FFFFFFFF"/>
        </patternFill>
      </fill>
      <border>
        <left/>
        <right/>
        <top/>
        <bottom/>
        <vertical/>
        <horizontal/>
      </border>
    </dxf>
    <dxf>
      <fill>
        <patternFill patternType="solid">
          <fgColor rgb="FFA0FFA0"/>
          <bgColor rgb="FFA0FF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E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CE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A0FF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E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</font>
      <fill>
        <patternFill>
          <bgColor rgb="FFFFFFFF"/>
        </patternFill>
      </fill>
      <border>
        <left/>
        <right/>
        <top/>
        <bottom/>
        <vertical/>
        <horizontal/>
      </border>
    </dxf>
    <dxf>
      <fill>
        <patternFill>
          <bgColor rgb="FFCCE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A0FF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</font>
      <fill>
        <patternFill>
          <bgColor rgb="FFFFFFFF"/>
        </patternFill>
      </fill>
      <border>
        <left/>
        <right/>
        <top/>
        <bottom/>
        <vertical/>
        <horizontal/>
      </border>
    </dxf>
    <dxf>
      <fill>
        <patternFill>
          <bgColor rgb="FFA0FF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A0FF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</font>
      <fill>
        <patternFill>
          <bgColor rgb="FF99FF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A0FF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E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</font>
      <fill>
        <patternFill>
          <bgColor rgb="FFFFFFFF"/>
        </patternFill>
      </fill>
      <border>
        <left/>
        <right/>
        <top/>
        <bottom/>
        <vertical/>
        <horizontal/>
      </border>
    </dxf>
    <dxf>
      <font>
        <strike val="0"/>
      </font>
      <fill>
        <patternFill>
          <bgColor rgb="FFFFFFFF"/>
        </patternFill>
      </fill>
      <border>
        <left/>
        <right/>
        <top/>
        <bottom/>
        <vertical/>
        <horizontal/>
      </border>
    </dxf>
    <dxf>
      <fill>
        <patternFill patternType="solid">
          <fgColor rgb="FFCCECFF"/>
          <bgColor rgb="FFCCE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E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A0FF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A0FF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A0FF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</font>
      <fill>
        <patternFill>
          <bgColor rgb="FFFFFFFF"/>
        </patternFill>
      </fill>
      <border>
        <left/>
        <right/>
        <top/>
        <bottom/>
        <vertical/>
        <horizontal/>
      </border>
    </dxf>
    <dxf>
      <font>
        <strike val="0"/>
      </font>
      <fill>
        <patternFill>
          <bgColor rgb="FFFFFFFF"/>
        </patternFill>
      </fill>
      <border>
        <left/>
        <right/>
        <top/>
        <bottom/>
        <vertical/>
        <horizontal/>
      </border>
    </dxf>
    <dxf>
      <fill>
        <patternFill>
          <bgColor rgb="FF99FF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</font>
      <fill>
        <patternFill>
          <bgColor rgb="FFFFFFFF"/>
        </patternFill>
      </fill>
      <border>
        <left/>
        <right/>
        <top/>
        <bottom/>
      </border>
    </dxf>
    <dxf>
      <fill>
        <patternFill>
          <bgColor rgb="FFCCE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lightUp">
          <bgColor rgb="FFFF0000"/>
        </patternFill>
      </fill>
    </dxf>
    <dxf>
      <font>
        <strike val="0"/>
      </font>
      <fill>
        <patternFill>
          <bgColor rgb="FFFFFFFF"/>
        </patternFill>
      </fill>
      <border>
        <left/>
        <right/>
        <top/>
        <bottom/>
      </border>
    </dxf>
    <dxf>
      <fill>
        <patternFill patternType="lightUp">
          <bgColor rgb="FFFF0000"/>
        </patternFill>
      </fill>
    </dxf>
    <dxf>
      <fill>
        <patternFill>
          <bgColor rgb="FFCCE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99FF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</font>
      <fill>
        <patternFill>
          <bgColor rgb="FF99FF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</font>
      <fill>
        <gradientFill>
          <stop position="0">
            <color theme="0"/>
          </stop>
          <stop position="1">
            <color rgb="FFFFC000"/>
          </stop>
        </gradientFill>
      </fill>
    </dxf>
    <dxf>
      <font>
        <strike val="0"/>
      </font>
      <fill>
        <gradientFill>
          <stop position="0">
            <color theme="0"/>
          </stop>
          <stop position="1">
            <color rgb="FFFFC000"/>
          </stop>
        </gradientFill>
      </fill>
    </dxf>
    <dxf>
      <font>
        <strike val="0"/>
      </font>
      <fill>
        <gradientFill>
          <stop position="0">
            <color theme="0"/>
          </stop>
          <stop position="1">
            <color rgb="FFFFC000"/>
          </stop>
        </gradientFill>
      </fill>
    </dxf>
    <dxf>
      <font>
        <strike val="0"/>
      </font>
      <fill>
        <gradientFill>
          <stop position="0">
            <color theme="0"/>
          </stop>
          <stop position="1">
            <color rgb="FFFFC000"/>
          </stop>
        </gradientFill>
      </fill>
    </dxf>
    <dxf>
      <font>
        <strike val="0"/>
      </font>
      <fill>
        <gradientFill>
          <stop position="0">
            <color theme="0"/>
          </stop>
          <stop position="1">
            <color rgb="FFFFC000"/>
          </stop>
        </gradientFill>
      </fill>
    </dxf>
    <dxf>
      <fill>
        <gradientFill degree="180">
          <stop position="0">
            <color theme="0"/>
          </stop>
          <stop position="1">
            <color rgb="FF99FF33"/>
          </stop>
        </gradientFill>
      </fill>
    </dxf>
    <dxf>
      <fill>
        <patternFill>
          <bgColor rgb="FFFFFFFF"/>
        </patternFill>
      </fill>
      <border>
        <right style="thin">
          <color auto="1"/>
        </right>
      </border>
    </dxf>
    <dxf>
      <fill>
        <gradientFill degree="180">
          <stop position="0">
            <color theme="0"/>
          </stop>
          <stop position="1">
            <color rgb="FF99FF33"/>
          </stop>
        </gradientFill>
      </fill>
    </dxf>
    <dxf>
      <fill>
        <patternFill>
          <bgColor rgb="FFFFFFFF"/>
        </patternFill>
      </fill>
      <border>
        <right style="thin">
          <color auto="1"/>
        </right>
      </border>
    </dxf>
    <dxf>
      <fill>
        <gradientFill degree="180">
          <stop position="0">
            <color theme="0"/>
          </stop>
          <stop position="1">
            <color rgb="FF99FF33"/>
          </stop>
        </gradientFill>
      </fill>
    </dxf>
    <dxf>
      <fill>
        <patternFill>
          <bgColor rgb="FFFFFFFF"/>
        </patternFill>
      </fill>
      <border>
        <right style="thin">
          <color auto="1"/>
        </right>
      </border>
    </dxf>
    <dxf>
      <fill>
        <gradientFill degree="180">
          <stop position="0">
            <color theme="0"/>
          </stop>
          <stop position="1">
            <color rgb="FF99FF33"/>
          </stop>
        </gradientFill>
      </fill>
    </dxf>
    <dxf>
      <fill>
        <patternFill>
          <bgColor rgb="FFFFFFFF"/>
        </patternFill>
      </fill>
      <border>
        <right style="thin">
          <color auto="1"/>
        </right>
      </border>
    </dxf>
    <dxf>
      <fill>
        <patternFill>
          <bgColor rgb="FFFFFFFF"/>
        </patternFill>
      </fill>
      <border>
        <right style="thin">
          <color auto="1"/>
        </right>
      </border>
    </dxf>
    <dxf>
      <fill>
        <gradientFill degree="180">
          <stop position="0">
            <color theme="0"/>
          </stop>
          <stop position="1">
            <color rgb="FF99FF33"/>
          </stop>
        </gradientFill>
      </fill>
    </dxf>
    <dxf>
      <fill>
        <gradientFill degree="180">
          <stop position="0">
            <color theme="0"/>
          </stop>
          <stop position="1">
            <color rgb="FF99FF33"/>
          </stop>
        </gradientFill>
      </fill>
    </dxf>
    <dxf>
      <fill>
        <patternFill>
          <bgColor rgb="FFFFFFFF"/>
        </patternFill>
      </fill>
    </dxf>
    <dxf>
      <fill>
        <gradientFill degree="180">
          <stop position="0">
            <color theme="0"/>
          </stop>
          <stop position="1">
            <color rgb="FF99FF33"/>
          </stop>
        </gradientFill>
      </fill>
    </dxf>
    <dxf>
      <fill>
        <patternFill>
          <bgColor rgb="FFFFFFFF"/>
        </patternFill>
      </fill>
    </dxf>
    <dxf>
      <fill>
        <gradientFill degree="180">
          <stop position="0">
            <color theme="0"/>
          </stop>
          <stop position="1">
            <color rgb="FF99FF33"/>
          </stop>
        </gradient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gradientFill degree="180">
          <stop position="0">
            <color theme="0"/>
          </stop>
          <stop position="1">
            <color rgb="FF99FF33"/>
          </stop>
        </gradientFill>
      </fill>
    </dxf>
    <dxf>
      <fill>
        <patternFill>
          <bgColor rgb="FFFFFFFF"/>
        </patternFill>
      </fill>
    </dxf>
    <dxf>
      <fill>
        <gradientFill degree="180">
          <stop position="0">
            <color theme="0"/>
          </stop>
          <stop position="1">
            <color rgb="FF99FF33"/>
          </stop>
        </gradientFill>
      </fill>
    </dxf>
    <dxf>
      <fill>
        <gradientFill degree="180">
          <stop position="0">
            <color theme="0"/>
          </stop>
          <stop position="1">
            <color rgb="FF99FF33"/>
          </stop>
        </gradientFill>
      </fill>
    </dxf>
    <dxf>
      <fill>
        <patternFill>
          <bgColor rgb="FFFFFFFF"/>
        </patternFill>
      </fill>
    </dxf>
    <dxf>
      <fill>
        <gradientFill degree="180">
          <stop position="0">
            <color theme="0"/>
          </stop>
          <stop position="1">
            <color rgb="FF99FF33"/>
          </stop>
        </gradient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gradientFill degree="180">
          <stop position="0">
            <color theme="0"/>
          </stop>
          <stop position="1">
            <color rgb="FF99FF33"/>
          </stop>
        </gradientFill>
      </fill>
    </dxf>
    <dxf>
      <fill>
        <patternFill>
          <bgColor rgb="FFFFFFFF"/>
        </patternFill>
      </fill>
    </dxf>
    <dxf>
      <fill>
        <gradientFill degree="180">
          <stop position="0">
            <color theme="0"/>
          </stop>
          <stop position="1">
            <color rgb="FF99FF33"/>
          </stop>
        </gradientFill>
      </fill>
    </dxf>
    <dxf>
      <fill>
        <patternFill>
          <bgColor rgb="FFFFFFFF"/>
        </patternFill>
      </fill>
    </dxf>
    <dxf>
      <fill>
        <gradientFill degree="180">
          <stop position="0">
            <color theme="0"/>
          </stop>
          <stop position="1">
            <color rgb="FF99FF33"/>
          </stop>
        </gradientFill>
      </fill>
    </dxf>
    <dxf>
      <font>
        <strike/>
      </font>
      <fill>
        <gradientFill degree="90">
          <stop position="0">
            <color rgb="FFFFC000"/>
          </stop>
          <stop position="1">
            <color rgb="FFFF0000"/>
          </stop>
        </gradientFill>
      </fill>
    </dxf>
    <dxf>
      <font>
        <strike val="0"/>
      </font>
      <fill>
        <gradientFill degree="180">
          <stop position="0">
            <color theme="0"/>
          </stop>
          <stop position="1">
            <color rgb="FF99FF33"/>
          </stop>
        </gradientFill>
      </fill>
    </dxf>
    <dxf>
      <fill>
        <patternFill>
          <bgColor rgb="FFFFFFFF"/>
        </patternFill>
      </fill>
    </dxf>
    <dxf>
      <font>
        <strike/>
      </font>
      <fill>
        <gradientFill degree="90">
          <stop position="0">
            <color rgb="FFFFC000"/>
          </stop>
          <stop position="1">
            <color rgb="FFFF0000"/>
          </stop>
        </gradientFill>
      </fill>
    </dxf>
    <dxf>
      <font>
        <strike val="0"/>
      </font>
      <fill>
        <gradientFill degree="180">
          <stop position="0">
            <color theme="0"/>
          </stop>
          <stop position="1">
            <color rgb="FF99FF33"/>
          </stop>
        </gradientFill>
      </fill>
    </dxf>
    <dxf>
      <fill>
        <patternFill>
          <bgColor rgb="FFFFFFFF"/>
        </patternFill>
      </fill>
    </dxf>
    <dxf>
      <font>
        <strike/>
      </font>
      <fill>
        <gradientFill degree="90">
          <stop position="0">
            <color rgb="FFFFC000"/>
          </stop>
          <stop position="1">
            <color rgb="FFFF0000"/>
          </stop>
        </gradientFill>
      </fill>
    </dxf>
    <dxf>
      <font>
        <strike val="0"/>
      </font>
      <fill>
        <gradientFill degree="180">
          <stop position="0">
            <color theme="0"/>
          </stop>
          <stop position="1">
            <color rgb="FF99FF33"/>
          </stop>
        </gradientFill>
      </fill>
    </dxf>
    <dxf>
      <fill>
        <patternFill>
          <bgColor rgb="FFFFFFFF"/>
        </patternFill>
      </fill>
    </dxf>
    <dxf>
      <font>
        <strike/>
      </font>
      <fill>
        <gradientFill degree="90">
          <stop position="0">
            <color rgb="FFFFC000"/>
          </stop>
          <stop position="1">
            <color rgb="FFFF0000"/>
          </stop>
        </gradientFill>
      </fill>
    </dxf>
    <dxf>
      <font>
        <strike/>
      </font>
      <fill>
        <gradientFill degree="90">
          <stop position="0">
            <color rgb="FFFFC000"/>
          </stop>
          <stop position="1">
            <color rgb="FFFF0000"/>
          </stop>
        </gradientFill>
      </fill>
    </dxf>
    <dxf>
      <fill>
        <patternFill>
          <bgColor rgb="FFFFFFFF"/>
        </patternFill>
      </fill>
    </dxf>
    <dxf>
      <font>
        <strike val="0"/>
      </font>
      <fill>
        <gradientFill degree="180">
          <stop position="0">
            <color theme="0"/>
          </stop>
          <stop position="1">
            <color rgb="FF99FF33"/>
          </stop>
        </gradientFill>
      </fill>
    </dxf>
    <dxf>
      <fill>
        <patternFill>
          <bgColor rgb="FFFFFFFF"/>
        </patternFill>
      </fill>
    </dxf>
    <dxf>
      <fill>
        <gradientFill degree="180">
          <stop position="0">
            <color theme="0"/>
          </stop>
          <stop position="1">
            <color rgb="FF99FF33"/>
          </stop>
        </gradientFill>
      </fill>
    </dxf>
    <dxf>
      <font>
        <strike val="0"/>
      </font>
      <fill>
        <patternFill>
          <bgColor rgb="FFFFFFFF"/>
        </patternFill>
      </fill>
    </dxf>
    <dxf>
      <fill>
        <gradientFill degree="180">
          <stop position="0">
            <color theme="0"/>
          </stop>
          <stop position="1">
            <color rgb="FF99FF33"/>
          </stop>
        </gradientFill>
      </fill>
    </dxf>
    <dxf>
      <fill>
        <gradientFill degree="180">
          <stop position="0">
            <color theme="0"/>
          </stop>
          <stop position="1">
            <color rgb="FF99FF33"/>
          </stop>
        </gradientFill>
      </fill>
    </dxf>
    <dxf>
      <fill>
        <gradientFill degree="180">
          <stop position="0">
            <color theme="0"/>
          </stop>
          <stop position="1">
            <color rgb="FF99FF33"/>
          </stop>
        </gradientFill>
      </fill>
    </dxf>
    <dxf>
      <font>
        <strike val="0"/>
      </font>
      <fill>
        <patternFill>
          <bgColor rgb="FFFFFFFF"/>
        </patternFill>
      </fill>
    </dxf>
    <dxf>
      <font>
        <strike val="0"/>
      </font>
      <fill>
        <gradientFill degree="180">
          <stop position="0">
            <color theme="0"/>
          </stop>
          <stop position="1">
            <color rgb="FF99FF33"/>
          </stop>
        </gradientFill>
      </fill>
    </dxf>
    <dxf>
      <font>
        <strike/>
        <u val="double"/>
        <color auto="1"/>
      </font>
      <fill>
        <gradientFill degree="90">
          <stop position="0">
            <color rgb="FFFFFF00"/>
          </stop>
          <stop position="0.5">
            <color rgb="FFFF0000"/>
          </stop>
          <stop position="1">
            <color rgb="FFFFFF00"/>
          </stop>
        </gradientFill>
      </fill>
    </dxf>
    <dxf>
      <fill>
        <patternFill>
          <bgColor rgb="FFFFFFFF"/>
        </patternFill>
      </fill>
    </dxf>
    <dxf>
      <fill>
        <gradientFill degree="180">
          <stop position="0">
            <color theme="0"/>
          </stop>
          <stop position="1">
            <color rgb="FF99FF33"/>
          </stop>
        </gradient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gradientFill degree="180">
          <stop position="0">
            <color theme="0"/>
          </stop>
          <stop position="1">
            <color rgb="FF99FF33"/>
          </stop>
        </gradientFill>
      </fill>
    </dxf>
    <dxf>
      <fill>
        <patternFill>
          <bgColor rgb="FFFFFFFF"/>
        </patternFill>
      </fill>
    </dxf>
    <dxf>
      <font>
        <strike/>
        <u val="double"/>
        <color auto="1"/>
      </font>
      <fill>
        <gradientFill degree="90">
          <stop position="0">
            <color rgb="FFFFFF00"/>
          </stop>
          <stop position="0.5">
            <color rgb="FFFF0000"/>
          </stop>
          <stop position="1">
            <color rgb="FFFFFF00"/>
          </stop>
        </gradientFill>
      </fill>
    </dxf>
    <dxf>
      <fill>
        <patternFill>
          <bgColor rgb="FFFFFFFF"/>
        </patternFill>
      </fill>
    </dxf>
    <dxf>
      <fill>
        <gradientFill degree="180">
          <stop position="0">
            <color theme="0"/>
          </stop>
          <stop position="1">
            <color rgb="FF99FF33"/>
          </stop>
        </gradientFill>
      </fill>
    </dxf>
    <dxf>
      <fill>
        <patternFill>
          <bgColor rgb="FFFFFFFF"/>
        </patternFill>
      </fill>
    </dxf>
    <dxf>
      <font>
        <strike/>
        <u val="double"/>
        <color auto="1"/>
      </font>
      <fill>
        <gradientFill degree="90">
          <stop position="0">
            <color rgb="FFFFFF00"/>
          </stop>
          <stop position="0.5">
            <color rgb="FFFF0000"/>
          </stop>
          <stop position="1">
            <color rgb="FFFFFF00"/>
          </stop>
        </gradientFill>
      </fill>
    </dxf>
    <dxf>
      <fill>
        <patternFill>
          <bgColor rgb="FFFFFFFF"/>
        </patternFill>
      </fill>
    </dxf>
    <dxf>
      <font>
        <strike val="0"/>
      </font>
      <fill>
        <patternFill>
          <bgColor rgb="FFFFFFFF"/>
        </patternFill>
      </fill>
    </dxf>
    <dxf>
      <fill>
        <gradientFill degree="180">
          <stop position="0">
            <color theme="0"/>
          </stop>
          <stop position="1">
            <color rgb="FF99FF33"/>
          </stop>
        </gradientFill>
      </fill>
    </dxf>
    <dxf>
      <font>
        <strike/>
        <u val="double"/>
        <color auto="1"/>
      </font>
      <fill>
        <gradientFill degree="90">
          <stop position="0">
            <color rgb="FFFFFF00"/>
          </stop>
          <stop position="0.5">
            <color rgb="FFFF0000"/>
          </stop>
          <stop position="1">
            <color rgb="FFFFFF00"/>
          </stop>
        </gradientFill>
      </fill>
    </dxf>
    <dxf>
      <fill>
        <gradientFill degree="180">
          <stop position="0">
            <color theme="0"/>
          </stop>
          <stop position="1">
            <color rgb="FF99FF33"/>
          </stop>
        </gradientFill>
      </fill>
    </dxf>
    <dxf>
      <fill>
        <patternFill>
          <bgColor rgb="FFFFFFFF"/>
        </patternFill>
      </fill>
    </dxf>
    <dxf>
      <font>
        <strike/>
        <u val="double"/>
        <color auto="1"/>
      </font>
      <fill>
        <gradientFill degree="90">
          <stop position="0">
            <color rgb="FFFFFF00"/>
          </stop>
          <stop position="0.5">
            <color rgb="FFFF0000"/>
          </stop>
          <stop position="1">
            <color rgb="FFFFFF00"/>
          </stop>
        </gradientFill>
      </fill>
    </dxf>
    <dxf>
      <fill>
        <gradientFill degree="180">
          <stop position="0">
            <color theme="0"/>
          </stop>
          <stop position="1">
            <color rgb="FF99FF33"/>
          </stop>
        </gradientFill>
      </fill>
    </dxf>
    <dxf>
      <fill>
        <gradientFill degree="180">
          <stop position="0">
            <color theme="0"/>
          </stop>
          <stop position="1">
            <color rgb="FF99FF33"/>
          </stop>
        </gradientFill>
      </fill>
    </dxf>
    <dxf>
      <fill>
        <gradientFill degree="180">
          <stop position="0">
            <color theme="0"/>
          </stop>
          <stop position="1">
            <color rgb="FF99FF33"/>
          </stop>
        </gradientFill>
      </fill>
    </dxf>
    <dxf>
      <fill>
        <patternFill>
          <bgColor rgb="FFFFFFFF"/>
        </patternFill>
      </fill>
    </dxf>
    <dxf>
      <fill>
        <patternFill patternType="lightUp">
          <bgColor rgb="FFFFFFFF"/>
        </patternFill>
      </fill>
    </dxf>
    <dxf>
      <fill>
        <gradientFill degree="180">
          <stop position="0">
            <color theme="0"/>
          </stop>
          <stop position="1">
            <color rgb="FF99FF33"/>
          </stop>
        </gradientFill>
      </fill>
    </dxf>
    <dxf>
      <font>
        <strike val="0"/>
      </font>
      <fill>
        <gradientFill degree="180">
          <stop position="0">
            <color theme="0"/>
          </stop>
          <stop position="1">
            <color rgb="FF99FF33"/>
          </stop>
        </gradientFill>
      </fill>
    </dxf>
    <dxf>
      <fill>
        <patternFill>
          <bgColor rgb="FFFFFFFF"/>
        </patternFill>
      </fill>
    </dxf>
    <dxf>
      <fill>
        <patternFill patternType="lightUp">
          <bgColor rgb="FFFFFFFF"/>
        </patternFill>
      </fill>
    </dxf>
    <dxf>
      <fill>
        <gradientFill degree="180">
          <stop position="0">
            <color theme="0"/>
          </stop>
          <stop position="1">
            <color rgb="FF99FF33"/>
          </stop>
        </gradientFill>
      </fill>
    </dxf>
    <dxf>
      <fill>
        <patternFill>
          <bgColor rgb="FFFFFFFF"/>
        </patternFill>
      </fill>
    </dxf>
    <dxf>
      <fill>
        <gradientFill degree="180">
          <stop position="0">
            <color theme="0"/>
          </stop>
          <stop position="1">
            <color rgb="FF99FF33"/>
          </stop>
        </gradient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ill>
        <patternFill>
          <bgColor rgb="FFFFFFFF"/>
        </patternFill>
      </fill>
    </dxf>
    <dxf>
      <fill>
        <gradientFill degree="180">
          <stop position="0">
            <color theme="0"/>
          </stop>
          <stop position="1">
            <color rgb="FF99FF33"/>
          </stop>
        </gradient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strike val="0"/>
      </font>
      <fill>
        <gradientFill>
          <stop position="0">
            <color theme="0"/>
          </stop>
          <stop position="0.5">
            <color rgb="FFFFFF00"/>
          </stop>
          <stop position="1">
            <color theme="0"/>
          </stop>
        </gradientFill>
      </fill>
      <border>
        <left/>
        <right/>
        <top/>
        <bottom/>
      </border>
    </dxf>
    <dxf>
      <fill>
        <gradientFill degree="180">
          <stop position="0">
            <color theme="0"/>
          </stop>
          <stop position="1">
            <color rgb="FF99FF33"/>
          </stop>
        </gradient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gradientFill degree="180">
          <stop position="0">
            <color theme="0"/>
          </stop>
          <stop position="1">
            <color rgb="FF99FF33"/>
          </stop>
        </gradient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ill>
        <patternFill>
          <bgColor rgb="FFFFFFFF"/>
        </patternFill>
      </fill>
    </dxf>
    <dxf>
      <fill>
        <gradientFill degree="180">
          <stop position="0">
            <color theme="0"/>
          </stop>
          <stop position="1">
            <color rgb="FF99FF33"/>
          </stop>
        </gradient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ill>
        <patternFill>
          <bgColor rgb="FFFFFFFF"/>
        </patternFill>
      </fill>
    </dxf>
    <dxf>
      <fill>
        <gradientFill degree="180">
          <stop position="0">
            <color theme="0"/>
          </stop>
          <stop position="1">
            <color rgb="FF99FF33"/>
          </stop>
        </gradient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ill>
        <patternFill>
          <bgColor rgb="FFFFFFFF"/>
        </patternFill>
      </fill>
    </dxf>
    <dxf>
      <fill>
        <gradientFill degree="180">
          <stop position="0">
            <color theme="0"/>
          </stop>
          <stop position="1">
            <color rgb="FF99FF33"/>
          </stop>
        </gradient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ill>
        <patternFill>
          <bgColor rgb="FFFFFFFF"/>
        </patternFill>
      </fill>
    </dxf>
    <dxf>
      <fill>
        <gradientFill degree="180">
          <stop position="0">
            <color theme="0"/>
          </stop>
          <stop position="1">
            <color rgb="FF99FF33"/>
          </stop>
        </gradient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ill>
        <patternFill>
          <bgColor rgb="FFFFFFFF"/>
        </patternFill>
      </fill>
    </dxf>
    <dxf>
      <fill>
        <gradientFill degree="180">
          <stop position="0">
            <color theme="0"/>
          </stop>
          <stop position="1">
            <color rgb="FF99FF33"/>
          </stop>
        </gradient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strike val="0"/>
      </font>
      <fill>
        <gradientFill degree="180">
          <stop position="0">
            <color theme="0"/>
          </stop>
          <stop position="1">
            <color rgb="FF99FF33"/>
          </stop>
        </gradient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gradientFill degree="180">
          <stop position="0">
            <color theme="0"/>
          </stop>
          <stop position="1">
            <color rgb="FF99FF33"/>
          </stop>
        </gradient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gradientFill degree="180">
          <stop position="0">
            <color theme="0"/>
          </stop>
          <stop position="1">
            <color rgb="FF99FF33"/>
          </stop>
        </gradientFill>
      </fill>
    </dxf>
    <dxf>
      <font>
        <strike val="0"/>
      </font>
      <fill>
        <gradientFill degree="180">
          <stop position="0">
            <color theme="0"/>
          </stop>
          <stop position="1">
            <color rgb="FF99FF33"/>
          </stop>
        </gradientFill>
      </fill>
    </dxf>
    <dxf>
      <fill>
        <patternFill>
          <bgColor rgb="FFFFFFFF"/>
        </patternFill>
      </fill>
    </dxf>
    <dxf>
      <font>
        <strike val="0"/>
      </font>
      <fill>
        <gradientFill degree="270">
          <stop position="0">
            <color rgb="FFFFFF99"/>
          </stop>
          <stop position="1">
            <color rgb="FFFFFF00"/>
          </stop>
        </gradientFill>
      </fill>
    </dxf>
    <dxf>
      <fill>
        <gradientFill degree="180">
          <stop position="0">
            <color theme="0"/>
          </stop>
          <stop position="1">
            <color rgb="FF99FF33"/>
          </stop>
        </gradientFill>
      </fill>
    </dxf>
    <dxf>
      <fill>
        <gradientFill degree="180">
          <stop position="0">
            <color theme="0"/>
          </stop>
          <stop position="1">
            <color rgb="FF99FF33"/>
          </stop>
        </gradientFill>
      </fill>
    </dxf>
    <dxf>
      <fill>
        <gradientFill degree="180">
          <stop position="0">
            <color theme="0"/>
          </stop>
          <stop position="1">
            <color rgb="FF99FF33"/>
          </stop>
        </gradientFill>
      </fill>
    </dxf>
    <dxf>
      <fill>
        <patternFill>
          <bgColor rgb="FFFFFFFF"/>
        </patternFill>
      </fill>
    </dxf>
    <dxf>
      <fill>
        <patternFill patternType="lightUp">
          <bgColor rgb="FFFFFFFF"/>
        </patternFill>
      </fill>
    </dxf>
    <dxf>
      <fill>
        <gradientFill degree="180">
          <stop position="0">
            <color theme="0"/>
          </stop>
          <stop position="1">
            <color rgb="FF99FF33"/>
          </stop>
        </gradientFill>
      </fill>
    </dxf>
    <dxf>
      <fill>
        <gradientFill degree="180">
          <stop position="0">
            <color theme="0"/>
          </stop>
          <stop position="1">
            <color rgb="FF99FF33"/>
          </stop>
        </gradientFill>
      </fill>
    </dxf>
    <dxf>
      <font>
        <strike val="0"/>
      </font>
      <fill>
        <gradientFill degree="180">
          <stop position="0">
            <color theme="0"/>
          </stop>
          <stop position="1">
            <color rgb="FF99FF33"/>
          </stop>
        </gradientFill>
      </fill>
    </dxf>
    <dxf>
      <fill>
        <patternFill>
          <bgColor rgb="FFFFFFFF"/>
        </patternFill>
      </fill>
    </dxf>
    <dxf>
      <fill>
        <patternFill patternType="lightUp">
          <bgColor rgb="FFFFFFFF"/>
        </patternFill>
      </fill>
    </dxf>
    <dxf>
      <fill>
        <gradientFill degree="90">
          <stop position="0">
            <color rgb="FFFFFF99"/>
          </stop>
          <stop position="1">
            <color rgb="FFFF0000"/>
          </stop>
        </gradientFill>
      </fill>
    </dxf>
    <dxf>
      <fill>
        <patternFill>
          <bgColor rgb="FFFFFFFF"/>
        </patternFill>
      </fill>
    </dxf>
    <dxf>
      <fill>
        <gradientFill degree="90">
          <stop position="0">
            <color rgb="FFFFFF99"/>
          </stop>
          <stop position="1">
            <color rgb="FFFF0000"/>
          </stop>
        </gradient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gradientFill degree="90">
          <stop position="0">
            <color rgb="FFFFFF99"/>
          </stop>
          <stop position="1">
            <color rgb="FFFF0000"/>
          </stop>
        </gradientFill>
      </fill>
    </dxf>
    <dxf>
      <fill>
        <gradientFill degree="180">
          <stop position="0">
            <color theme="0"/>
          </stop>
          <stop position="1">
            <color rgb="FF99FF33"/>
          </stop>
        </gradientFill>
      </fill>
    </dxf>
    <dxf>
      <fill>
        <patternFill>
          <bgColor rgb="FFFFFFFF"/>
        </patternFill>
      </fill>
    </dxf>
    <dxf>
      <fill>
        <gradientFill degree="90">
          <stop position="0">
            <color rgb="FFFFFF99"/>
          </stop>
          <stop position="1">
            <color rgb="FFFF0000"/>
          </stop>
        </gradientFill>
      </fill>
    </dxf>
    <dxf>
      <fill>
        <gradientFill degree="90">
          <stop position="0">
            <color rgb="FFFFFF99"/>
          </stop>
          <stop position="1">
            <color rgb="FFFF0000"/>
          </stop>
        </gradientFill>
      </fill>
    </dxf>
    <dxf>
      <fill>
        <patternFill>
          <bgColor rgb="FFFFFFFF"/>
        </patternFill>
      </fill>
    </dxf>
    <dxf>
      <fill>
        <gradientFill degree="180">
          <stop position="0">
            <color theme="0"/>
          </stop>
          <stop position="1">
            <color rgb="FF99FF33"/>
          </stop>
        </gradientFill>
      </fill>
    </dxf>
    <dxf>
      <font>
        <strike val="0"/>
      </font>
      <fill>
        <gradientFill degree="90">
          <stop position="0">
            <color rgb="FFFFFF99"/>
          </stop>
          <stop position="1">
            <color rgb="FFFF0000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/>
        <u val="double"/>
      </font>
      <fill>
        <gradientFill degree="45">
          <stop position="0">
            <color rgb="FFFFFF00"/>
          </stop>
          <stop position="0.5">
            <color rgb="FFFF0000"/>
          </stop>
          <stop position="1">
            <color rgb="FFFFFF00"/>
          </stop>
        </gradientFill>
      </fill>
    </dxf>
    <dxf>
      <font>
        <b/>
        <i val="0"/>
        <strike/>
        <u val="double"/>
      </font>
      <fill>
        <gradientFill degree="45">
          <stop position="0">
            <color rgb="FFFFFF00"/>
          </stop>
          <stop position="0.5">
            <color rgb="FFFF0000"/>
          </stop>
          <stop position="1">
            <color rgb="FFFFFF00"/>
          </stop>
        </gradientFill>
      </fill>
    </dxf>
    <dxf>
      <fill>
        <patternFill>
          <bgColor rgb="FFFFFFFF"/>
        </patternFill>
      </fill>
    </dxf>
    <dxf>
      <fill>
        <gradientFill degree="180">
          <stop position="0">
            <color theme="0"/>
          </stop>
          <stop position="1">
            <color rgb="FF99FF33"/>
          </stop>
        </gradientFill>
      </fill>
    </dxf>
    <dxf>
      <font>
        <b/>
        <i val="0"/>
        <strike/>
        <u val="double"/>
      </font>
      <fill>
        <gradientFill degree="45">
          <stop position="0">
            <color rgb="FFFFFF00"/>
          </stop>
          <stop position="0.5">
            <color rgb="FFFF0000"/>
          </stop>
          <stop position="1">
            <color rgb="FFFFFF00"/>
          </stop>
        </gradientFill>
      </fill>
    </dxf>
    <dxf>
      <font>
        <b/>
        <i val="0"/>
        <strike/>
        <u val="double"/>
      </font>
      <fill>
        <gradientFill degree="45">
          <stop position="0">
            <color rgb="FFFFFF00"/>
          </stop>
          <stop position="0.5">
            <color rgb="FFFF0000"/>
          </stop>
          <stop position="1">
            <color rgb="FFFFFF00"/>
          </stop>
        </gradientFill>
      </fill>
    </dxf>
    <dxf>
      <fill>
        <patternFill>
          <bgColor rgb="FFFFFFFF"/>
        </patternFill>
      </fill>
    </dxf>
    <dxf>
      <fill>
        <gradientFill degree="180">
          <stop position="0">
            <color theme="0"/>
          </stop>
          <stop position="1">
            <color rgb="FF99FF33"/>
          </stop>
        </gradientFill>
      </fill>
    </dxf>
    <dxf>
      <font>
        <b/>
        <i val="0"/>
        <strike/>
        <u val="double"/>
      </font>
      <fill>
        <gradientFill degree="45">
          <stop position="0">
            <color rgb="FFFFFF00"/>
          </stop>
          <stop position="0.5">
            <color rgb="FFFF0000"/>
          </stop>
          <stop position="1">
            <color rgb="FFFFFF00"/>
          </stop>
        </gradientFill>
      </fill>
    </dxf>
    <dxf>
      <fill>
        <patternFill>
          <bgColor rgb="FFFFFFFF"/>
        </patternFill>
      </fill>
    </dxf>
    <dxf>
      <fill>
        <gradientFill degree="180">
          <stop position="0">
            <color theme="0"/>
          </stop>
          <stop position="1">
            <color rgb="FF99FF33"/>
          </stop>
        </gradientFill>
      </fill>
    </dxf>
    <dxf>
      <font>
        <strike val="0"/>
      </font>
      <fill>
        <gradientFill type="path" left="0.5" right="0.5" top="0.5" bottom="0.5">
          <stop position="0">
            <color rgb="FF99FF33"/>
          </stop>
          <stop position="1">
            <color rgb="FFFFFFFF"/>
          </stop>
        </gradientFill>
      </fill>
    </dxf>
    <dxf>
      <font>
        <strike val="0"/>
        <color rgb="FFFF0000"/>
      </font>
      <fill>
        <gradientFill type="path" left="0.5" right="0.5" top="0.5" bottom="0.5">
          <stop position="0">
            <color rgb="FF99FF33"/>
          </stop>
          <stop position="1">
            <color rgb="FFFFFFFF"/>
          </stop>
        </gradientFill>
      </fill>
    </dxf>
    <dxf>
      <font>
        <strike val="0"/>
        <color rgb="FFFF0000"/>
      </font>
      <fill>
        <gradientFill type="path" left="0.5" right="0.5" top="0.5" bottom="0.5">
          <stop position="0">
            <color rgb="FF99FF33"/>
          </stop>
          <stop position="1">
            <color rgb="FFFFFFFF"/>
          </stop>
        </gradientFill>
      </fill>
    </dxf>
    <dxf>
      <font>
        <strike val="0"/>
        <color rgb="FFFF0000"/>
      </font>
      <fill>
        <gradientFill type="path" left="0.5" right="0.5" top="0.5" bottom="0.5">
          <stop position="0">
            <color rgb="FF99FF33"/>
          </stop>
          <stop position="1">
            <color rgb="FFFFFFFF"/>
          </stop>
        </gradientFill>
      </fill>
    </dxf>
    <dxf>
      <font>
        <strike val="0"/>
        <color rgb="FFFF0000"/>
      </font>
      <fill>
        <gradientFill type="path" left="0.5" right="0.5" top="0.5" bottom="0.5">
          <stop position="0">
            <color rgb="FF99FF33"/>
          </stop>
          <stop position="1">
            <color rgb="FFFFFFFF"/>
          </stop>
        </gradient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left style="medium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protection locked="1" hidden="0"/>
    </dxf>
  </dxfs>
  <tableStyles count="0" defaultTableStyle="TableStyleMedium9" defaultPivotStyle="PivotStyleLight16"/>
  <colors>
    <mruColors>
      <color rgb="FF00FFFF"/>
      <color rgb="FF99FF33"/>
      <color rgb="FFFF7C80"/>
      <color rgb="FFFFFFFF"/>
      <color rgb="FF0066FF"/>
      <color rgb="FF99FF99"/>
      <color rgb="FFFFFF99"/>
      <color rgb="FFFF5050"/>
      <color rgb="FFCCFF66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emf"/><Relationship Id="rId2" Type="http://schemas.openxmlformats.org/officeDocument/2006/relationships/image" Target="../media/image2.jpeg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png"/><Relationship Id="rId13" Type="http://schemas.openxmlformats.org/officeDocument/2006/relationships/image" Target="../media/image26.jpeg"/><Relationship Id="rId18" Type="http://schemas.openxmlformats.org/officeDocument/2006/relationships/image" Target="../media/image31.jpeg"/><Relationship Id="rId26" Type="http://schemas.openxmlformats.org/officeDocument/2006/relationships/image" Target="../media/image39.png"/><Relationship Id="rId3" Type="http://schemas.openxmlformats.org/officeDocument/2006/relationships/image" Target="../media/image16.jpeg"/><Relationship Id="rId21" Type="http://schemas.openxmlformats.org/officeDocument/2006/relationships/image" Target="../media/image34.jpeg"/><Relationship Id="rId7" Type="http://schemas.openxmlformats.org/officeDocument/2006/relationships/image" Target="../media/image20.png"/><Relationship Id="rId12" Type="http://schemas.openxmlformats.org/officeDocument/2006/relationships/image" Target="../media/image25.jpeg"/><Relationship Id="rId17" Type="http://schemas.openxmlformats.org/officeDocument/2006/relationships/image" Target="../media/image30.jpeg"/><Relationship Id="rId25" Type="http://schemas.openxmlformats.org/officeDocument/2006/relationships/image" Target="../media/image38.png"/><Relationship Id="rId2" Type="http://schemas.openxmlformats.org/officeDocument/2006/relationships/image" Target="../media/image15.jpeg"/><Relationship Id="rId16" Type="http://schemas.openxmlformats.org/officeDocument/2006/relationships/image" Target="../media/image29.jpeg"/><Relationship Id="rId20" Type="http://schemas.openxmlformats.org/officeDocument/2006/relationships/image" Target="../media/image33.jpeg"/><Relationship Id="rId29" Type="http://schemas.openxmlformats.org/officeDocument/2006/relationships/image" Target="../media/image41.png"/><Relationship Id="rId1" Type="http://schemas.openxmlformats.org/officeDocument/2006/relationships/image" Target="../media/image14.jpeg"/><Relationship Id="rId6" Type="http://schemas.openxmlformats.org/officeDocument/2006/relationships/image" Target="../media/image19.png"/><Relationship Id="rId11" Type="http://schemas.openxmlformats.org/officeDocument/2006/relationships/image" Target="../media/image24.jpeg"/><Relationship Id="rId24" Type="http://schemas.openxmlformats.org/officeDocument/2006/relationships/image" Target="../media/image37.jpeg"/><Relationship Id="rId5" Type="http://schemas.openxmlformats.org/officeDocument/2006/relationships/image" Target="../media/image18.jpeg"/><Relationship Id="rId15" Type="http://schemas.openxmlformats.org/officeDocument/2006/relationships/image" Target="../media/image28.jpeg"/><Relationship Id="rId23" Type="http://schemas.openxmlformats.org/officeDocument/2006/relationships/image" Target="../media/image36.jpeg"/><Relationship Id="rId28" Type="http://schemas.openxmlformats.org/officeDocument/2006/relationships/image" Target="../media/image40.jpeg"/><Relationship Id="rId10" Type="http://schemas.openxmlformats.org/officeDocument/2006/relationships/image" Target="../media/image23.png"/><Relationship Id="rId19" Type="http://schemas.openxmlformats.org/officeDocument/2006/relationships/image" Target="../media/image32.png"/><Relationship Id="rId4" Type="http://schemas.openxmlformats.org/officeDocument/2006/relationships/image" Target="../media/image17.jpeg"/><Relationship Id="rId9" Type="http://schemas.openxmlformats.org/officeDocument/2006/relationships/image" Target="../media/image22.png"/><Relationship Id="rId14" Type="http://schemas.openxmlformats.org/officeDocument/2006/relationships/image" Target="../media/image27.jpeg"/><Relationship Id="rId22" Type="http://schemas.openxmlformats.org/officeDocument/2006/relationships/image" Target="../media/image35.jpeg"/><Relationship Id="rId27" Type="http://schemas.microsoft.com/office/2007/relationships/hdphoto" Target="../media/hdphoto1.wdp"/><Relationship Id="rId30" Type="http://schemas.openxmlformats.org/officeDocument/2006/relationships/image" Target="../media/image42.jp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Relationship Id="rId5" Type="http://schemas.openxmlformats.org/officeDocument/2006/relationships/image" Target="../media/image13.emf"/><Relationship Id="rId4" Type="http://schemas.openxmlformats.org/officeDocument/2006/relationships/image" Target="../media/image1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45361</xdr:colOff>
          <xdr:row>40</xdr:row>
          <xdr:rowOff>28125</xdr:rowOff>
        </xdr:from>
        <xdr:to>
          <xdr:col>50</xdr:col>
          <xdr:colOff>94342</xdr:colOff>
          <xdr:row>67</xdr:row>
          <xdr:rowOff>21864</xdr:rowOff>
        </xdr:to>
        <xdr:pic>
          <xdr:nvPicPr>
            <xdr:cNvPr id="85" name="Immagine 84">
              <a:extLst>
                <a:ext uri="{FF2B5EF4-FFF2-40B4-BE49-F238E27FC236}">
                  <a16:creationId xmlns:a16="http://schemas.microsoft.com/office/drawing/2014/main" id="{00000000-0008-0000-0000-000055000000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_FORIsuVERTICALE4aRIGA" spid="_x0000_s79715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10450290" y="4291696"/>
              <a:ext cx="1464577" cy="2468787"/>
            </a:xfrm>
            <a:prstGeom prst="rect">
              <a:avLst/>
            </a:prstGeom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7992</xdr:colOff>
          <xdr:row>5</xdr:row>
          <xdr:rowOff>28202</xdr:rowOff>
        </xdr:from>
        <xdr:to>
          <xdr:col>63</xdr:col>
          <xdr:colOff>39253</xdr:colOff>
          <xdr:row>31</xdr:row>
          <xdr:rowOff>3458</xdr:rowOff>
        </xdr:to>
        <xdr:pic>
          <xdr:nvPicPr>
            <xdr:cNvPr id="89" name="Immagine 88">
              <a:extLst>
                <a:ext uri="{FF2B5EF4-FFF2-40B4-BE49-F238E27FC236}">
                  <a16:creationId xmlns:a16="http://schemas.microsoft.com/office/drawing/2014/main" id="{00000000-0008-0000-0000-000059000000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_FORIsuVERTICALE2aRIGA" spid="_x0000_s79716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13352063" y="581559"/>
              <a:ext cx="1546190" cy="2567961"/>
            </a:xfrm>
            <a:prstGeom prst="rect">
              <a:avLst/>
            </a:prstGeom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12098</xdr:colOff>
          <xdr:row>5</xdr:row>
          <xdr:rowOff>27666</xdr:rowOff>
        </xdr:from>
        <xdr:to>
          <xdr:col>76</xdr:col>
          <xdr:colOff>54789</xdr:colOff>
          <xdr:row>31</xdr:row>
          <xdr:rowOff>2922</xdr:rowOff>
        </xdr:to>
        <xdr:pic>
          <xdr:nvPicPr>
            <xdr:cNvPr id="77" name="Immagine 76">
              <a:extLst>
                <a:ext uri="{FF2B5EF4-FFF2-40B4-BE49-F238E27FC236}">
                  <a16:creationId xmlns:a16="http://schemas.microsoft.com/office/drawing/2014/main" id="{00000000-0008-0000-0000-00004D000000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_FORIsuVERTICALE3aRIGA" spid="_x0000_s79717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16313455" y="581023"/>
              <a:ext cx="1546190" cy="2567961"/>
            </a:xfrm>
            <a:prstGeom prst="rect">
              <a:avLst/>
            </a:prstGeom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18154</xdr:colOff>
          <xdr:row>40</xdr:row>
          <xdr:rowOff>27213</xdr:rowOff>
        </xdr:from>
        <xdr:to>
          <xdr:col>63</xdr:col>
          <xdr:colOff>58059</xdr:colOff>
          <xdr:row>67</xdr:row>
          <xdr:rowOff>36287</xdr:rowOff>
        </xdr:to>
        <xdr:pic>
          <xdr:nvPicPr>
            <xdr:cNvPr id="87" name="Immagine 86">
              <a:extLst>
                <a:ext uri="{FF2B5EF4-FFF2-40B4-BE49-F238E27FC236}">
                  <a16:creationId xmlns:a16="http://schemas.microsoft.com/office/drawing/2014/main" id="{00000000-0008-0000-0000-000057000000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_FORIsuVERTICALE5aRIGA" spid="_x0000_s79718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13362225" y="4290784"/>
              <a:ext cx="1545309" cy="2476502"/>
            </a:xfrm>
            <a:prstGeom prst="rect">
              <a:avLst/>
            </a:prstGeom>
          </xdr:spPr>
        </xdr:pic>
        <xdr:clientData/>
      </xdr:twoCellAnchor>
    </mc:Choice>
    <mc:Fallback/>
  </mc:AlternateContent>
  <xdr:twoCellAnchor editAs="absolute">
    <xdr:from>
      <xdr:col>10</xdr:col>
      <xdr:colOff>58151</xdr:colOff>
      <xdr:row>48</xdr:row>
      <xdr:rowOff>58056</xdr:rowOff>
    </xdr:from>
    <xdr:to>
      <xdr:col>11</xdr:col>
      <xdr:colOff>130357</xdr:colOff>
      <xdr:row>68</xdr:row>
      <xdr:rowOff>905</xdr:rowOff>
    </xdr:to>
    <xdr:pic>
      <xdr:nvPicPr>
        <xdr:cNvPr id="86" name="Immagin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0781" y="5232036"/>
          <a:ext cx="253181" cy="1748789"/>
        </a:xfrm>
        <a:prstGeom prst="rect">
          <a:avLst/>
        </a:prstGeom>
      </xdr:spPr>
    </xdr:pic>
    <xdr:clientData/>
  </xdr:twoCellAnchor>
  <xdr:oneCellAnchor>
    <xdr:from>
      <xdr:col>12</xdr:col>
      <xdr:colOff>41007</xdr:colOff>
      <xdr:row>44</xdr:row>
      <xdr:rowOff>1592</xdr:rowOff>
    </xdr:from>
    <xdr:ext cx="1528100" cy="207958"/>
    <xdr:pic>
      <xdr:nvPicPr>
        <xdr:cNvPr id="20" name="Immagin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3055658" y="4119261"/>
          <a:ext cx="207958" cy="152810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8163</xdr:colOff>
          <xdr:row>5</xdr:row>
          <xdr:rowOff>54426</xdr:rowOff>
        </xdr:from>
        <xdr:to>
          <xdr:col>51</xdr:col>
          <xdr:colOff>16690</xdr:colOff>
          <xdr:row>30</xdr:row>
          <xdr:rowOff>17052</xdr:rowOff>
        </xdr:to>
        <xdr:pic>
          <xdr:nvPicPr>
            <xdr:cNvPr id="19" name="Immagine 18">
              <a:extLs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_FORIsuVERTICALE" spid="_x0000_s79719"/>
                </a:ext>
              </a:extLst>
            </xdr:cNvPicPr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0413092" y="607783"/>
              <a:ext cx="1524907" cy="2509611"/>
            </a:xfrm>
            <a:prstGeom prst="rect">
              <a:avLst/>
            </a:prstGeom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11341</xdr:colOff>
          <xdr:row>8</xdr:row>
          <xdr:rowOff>34289</xdr:rowOff>
        </xdr:from>
        <xdr:to>
          <xdr:col>26</xdr:col>
          <xdr:colOff>22860</xdr:colOff>
          <xdr:row>35</xdr:row>
          <xdr:rowOff>32293</xdr:rowOff>
        </xdr:to>
        <xdr:pic>
          <xdr:nvPicPr>
            <xdr:cNvPr id="5" name="Immagine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_PROFILO_SCELTO" spid="_x0000_s79720"/>
                </a:ext>
              </a:extLst>
            </xdr:cNvPicPr>
          </xdr:nvPicPr>
          <xdr:blipFill rotWithShape="1">
            <a:blip xmlns:r="http://schemas.openxmlformats.org/officeDocument/2006/relationships" r:embed="rId5"/>
            <a:srcRect r="9772"/>
            <a:stretch>
              <a:fillRect/>
            </a:stretch>
          </xdr:blipFill>
          <xdr:spPr>
            <a:xfrm>
              <a:off x="4842421" y="941069"/>
              <a:ext cx="1291679" cy="2985044"/>
            </a:xfrm>
            <a:prstGeom prst="rect">
              <a:avLst/>
            </a:prstGeom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91440</xdr:colOff>
          <xdr:row>1</xdr:row>
          <xdr:rowOff>28575</xdr:rowOff>
        </xdr:from>
        <xdr:to>
          <xdr:col>39</xdr:col>
          <xdr:colOff>624840</xdr:colOff>
          <xdr:row>39</xdr:row>
          <xdr:rowOff>68580</xdr:rowOff>
        </xdr:to>
        <xdr:pic>
          <xdr:nvPicPr>
            <xdr:cNvPr id="22" name="Immagine 21">
              <a:extLst>
                <a:ext uri="{FF2B5EF4-FFF2-40B4-BE49-F238E27FC236}">
                  <a16:creationId xmlns:a16="http://schemas.microsoft.com/office/drawing/2014/main" id="{00000000-0008-0000-0000-000016000000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_RIQUADROPROFILIEFORATURE" spid="_x0000_s79721"/>
                </a:ext>
              </a:extLst>
            </xdr:cNvPicPr>
          </xdr:nvPicPr>
          <xdr:blipFill rotWithShape="1">
            <a:blip xmlns:r="http://schemas.openxmlformats.org/officeDocument/2006/relationships" r:embed="rId6"/>
            <a:srcRect l="3016" r="3199"/>
            <a:stretch>
              <a:fillRect/>
            </a:stretch>
          </xdr:blipFill>
          <xdr:spPr>
            <a:xfrm>
              <a:off x="6316980" y="219075"/>
              <a:ext cx="3627120" cy="4170045"/>
            </a:xfrm>
            <a:prstGeom prst="rect">
              <a:avLst/>
            </a:prstGeom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68</xdr:col>
          <xdr:colOff>38101</xdr:colOff>
          <xdr:row>36</xdr:row>
          <xdr:rowOff>28575</xdr:rowOff>
        </xdr:from>
        <xdr:to>
          <xdr:col>80</xdr:col>
          <xdr:colOff>190500</xdr:colOff>
          <xdr:row>71</xdr:row>
          <xdr:rowOff>5715</xdr:rowOff>
        </xdr:to>
        <xdr:pic>
          <xdr:nvPicPr>
            <xdr:cNvPr id="3" name="Immagine 2">
              <a:extLst>
                <a:ext uri="{FF2B5EF4-FFF2-40B4-BE49-F238E27FC236}">
                  <a16:creationId xmlns:a16="http://schemas.microsoft.com/office/drawing/2014/main" id="{CE1A39CF-20AE-4027-939F-4120F42488CE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_FOTOMANIGLIA" spid="_x0000_s79722"/>
                </a:ext>
              </a:extLst>
            </xdr:cNvPicPr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15916276" y="4019550"/>
              <a:ext cx="2962274" cy="3371850"/>
            </a:xfrm>
            <a:prstGeom prst="rect">
              <a:avLst/>
            </a:prstGeom>
          </xdr:spPr>
        </xdr:pic>
        <xdr:clientData/>
      </xdr:twoCellAnchor>
    </mc:Choice>
    <mc:Fallback/>
  </mc:AlternateContent>
  <xdr:twoCellAnchor editAs="oneCell">
    <xdr:from>
      <xdr:col>0</xdr:col>
      <xdr:colOff>30480</xdr:colOff>
      <xdr:row>6</xdr:row>
      <xdr:rowOff>7622</xdr:rowOff>
    </xdr:from>
    <xdr:to>
      <xdr:col>5</xdr:col>
      <xdr:colOff>114300</xdr:colOff>
      <xdr:row>10</xdr:row>
      <xdr:rowOff>132857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E11D37CD-956C-47B2-9E33-3A91A479FB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4" t="20218" r="3726" b="20349"/>
        <a:stretch>
          <a:fillRect/>
        </a:stretch>
      </xdr:blipFill>
      <xdr:spPr>
        <a:xfrm>
          <a:off x="30480" y="762002"/>
          <a:ext cx="1181100" cy="4605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31922</xdr:colOff>
      <xdr:row>0</xdr:row>
      <xdr:rowOff>197065</xdr:rowOff>
    </xdr:from>
    <xdr:to>
      <xdr:col>1</xdr:col>
      <xdr:colOff>1303816</xdr:colOff>
      <xdr:row>0</xdr:row>
      <xdr:rowOff>2357065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397" y="197065"/>
          <a:ext cx="1271894" cy="216000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0</xdr:row>
      <xdr:rowOff>200025</xdr:rowOff>
    </xdr:from>
    <xdr:to>
      <xdr:col>2</xdr:col>
      <xdr:colOff>1320653</xdr:colOff>
      <xdr:row>0</xdr:row>
      <xdr:rowOff>2360025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5" y="200025"/>
          <a:ext cx="1273028" cy="2160000"/>
        </a:xfrm>
        <a:prstGeom prst="rect">
          <a:avLst/>
        </a:prstGeom>
      </xdr:spPr>
    </xdr:pic>
    <xdr:clientData/>
  </xdr:twoCellAnchor>
  <xdr:twoCellAnchor editAs="oneCell">
    <xdr:from>
      <xdr:col>3</xdr:col>
      <xdr:colOff>59984</xdr:colOff>
      <xdr:row>0</xdr:row>
      <xdr:rowOff>206460</xdr:rowOff>
    </xdr:from>
    <xdr:to>
      <xdr:col>3</xdr:col>
      <xdr:colOff>1332443</xdr:colOff>
      <xdr:row>0</xdr:row>
      <xdr:rowOff>2366460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3409" y="206460"/>
          <a:ext cx="1272459" cy="2160000"/>
        </a:xfrm>
        <a:prstGeom prst="rect">
          <a:avLst/>
        </a:prstGeom>
      </xdr:spPr>
    </xdr:pic>
    <xdr:clientData/>
  </xdr:twoCellAnchor>
  <xdr:twoCellAnchor editAs="oneCell">
    <xdr:from>
      <xdr:col>4</xdr:col>
      <xdr:colOff>53804</xdr:colOff>
      <xdr:row>0</xdr:row>
      <xdr:rowOff>206718</xdr:rowOff>
    </xdr:from>
    <xdr:to>
      <xdr:col>4</xdr:col>
      <xdr:colOff>1331911</xdr:colOff>
      <xdr:row>0</xdr:row>
      <xdr:rowOff>2366718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11704" y="206718"/>
          <a:ext cx="1278107" cy="2160000"/>
        </a:xfrm>
        <a:prstGeom prst="rect">
          <a:avLst/>
        </a:prstGeom>
      </xdr:spPr>
    </xdr:pic>
    <xdr:clientData/>
  </xdr:twoCellAnchor>
  <xdr:twoCellAnchor editAs="oneCell">
    <xdr:from>
      <xdr:col>5</xdr:col>
      <xdr:colOff>53932</xdr:colOff>
      <xdr:row>0</xdr:row>
      <xdr:rowOff>206718</xdr:rowOff>
    </xdr:from>
    <xdr:to>
      <xdr:col>5</xdr:col>
      <xdr:colOff>1324898</xdr:colOff>
      <xdr:row>0</xdr:row>
      <xdr:rowOff>2366718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6307" y="206718"/>
          <a:ext cx="1270966" cy="21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4</xdr:row>
      <xdr:rowOff>57150</xdr:rowOff>
    </xdr:from>
    <xdr:to>
      <xdr:col>1</xdr:col>
      <xdr:colOff>1492373</xdr:colOff>
      <xdr:row>4</xdr:row>
      <xdr:rowOff>2577150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4610100"/>
          <a:ext cx="1454273" cy="25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38101</xdr:colOff>
      <xdr:row>4</xdr:row>
      <xdr:rowOff>57150</xdr:rowOff>
    </xdr:from>
    <xdr:to>
      <xdr:col>2</xdr:col>
      <xdr:colOff>1501924</xdr:colOff>
      <xdr:row>4</xdr:row>
      <xdr:rowOff>2577150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7051" y="4610100"/>
          <a:ext cx="1463823" cy="2520000"/>
        </a:xfrm>
        <a:prstGeom prst="rect">
          <a:avLst/>
        </a:prstGeom>
      </xdr:spPr>
    </xdr:pic>
    <xdr:clientData/>
  </xdr:twoCellAnchor>
  <xdr:twoCellAnchor editAs="oneCell">
    <xdr:from>
      <xdr:col>3</xdr:col>
      <xdr:colOff>38101</xdr:colOff>
      <xdr:row>4</xdr:row>
      <xdr:rowOff>57149</xdr:rowOff>
    </xdr:from>
    <xdr:to>
      <xdr:col>3</xdr:col>
      <xdr:colOff>1502526</xdr:colOff>
      <xdr:row>4</xdr:row>
      <xdr:rowOff>2577149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1526" y="4610099"/>
          <a:ext cx="1464425" cy="2520000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</xdr:colOff>
      <xdr:row>4</xdr:row>
      <xdr:rowOff>57150</xdr:rowOff>
    </xdr:from>
    <xdr:to>
      <xdr:col>4</xdr:col>
      <xdr:colOff>1496074</xdr:colOff>
      <xdr:row>4</xdr:row>
      <xdr:rowOff>2577150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0" y="4610100"/>
          <a:ext cx="1457974" cy="25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</xdr:colOff>
      <xdr:row>4</xdr:row>
      <xdr:rowOff>57150</xdr:rowOff>
    </xdr:from>
    <xdr:to>
      <xdr:col>5</xdr:col>
      <xdr:colOff>1492373</xdr:colOff>
      <xdr:row>4</xdr:row>
      <xdr:rowOff>2577150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0475" y="4610100"/>
          <a:ext cx="1454273" cy="25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30</xdr:row>
      <xdr:rowOff>28575</xdr:rowOff>
    </xdr:from>
    <xdr:to>
      <xdr:col>1</xdr:col>
      <xdr:colOff>1299616</xdr:colOff>
      <xdr:row>30</xdr:row>
      <xdr:rowOff>2980575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3050" y="16640175"/>
          <a:ext cx="1271041" cy="29520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30</xdr:row>
      <xdr:rowOff>28575</xdr:rowOff>
    </xdr:from>
    <xdr:to>
      <xdr:col>2</xdr:col>
      <xdr:colOff>1296667</xdr:colOff>
      <xdr:row>30</xdr:row>
      <xdr:rowOff>2980575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7525" y="16640175"/>
          <a:ext cx="1268092" cy="2952000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30</xdr:row>
      <xdr:rowOff>28575</xdr:rowOff>
    </xdr:from>
    <xdr:to>
      <xdr:col>3</xdr:col>
      <xdr:colOff>1296667</xdr:colOff>
      <xdr:row>30</xdr:row>
      <xdr:rowOff>2980575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0" y="16640175"/>
          <a:ext cx="1268092" cy="2952000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</xdr:colOff>
      <xdr:row>30</xdr:row>
      <xdr:rowOff>28575</xdr:rowOff>
    </xdr:from>
    <xdr:to>
      <xdr:col>4</xdr:col>
      <xdr:colOff>1296667</xdr:colOff>
      <xdr:row>30</xdr:row>
      <xdr:rowOff>2980575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86475" y="16640175"/>
          <a:ext cx="1268092" cy="295200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30</xdr:row>
      <xdr:rowOff>28575</xdr:rowOff>
    </xdr:from>
    <xdr:to>
      <xdr:col>7</xdr:col>
      <xdr:colOff>515617</xdr:colOff>
      <xdr:row>30</xdr:row>
      <xdr:rowOff>2980575</xdr:rowOff>
    </xdr:to>
    <xdr:pic>
      <xdr:nvPicPr>
        <xdr:cNvPr id="26" name="Immagine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5425" y="16640175"/>
          <a:ext cx="1268092" cy="2952000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</xdr:colOff>
      <xdr:row>30</xdr:row>
      <xdr:rowOff>28575</xdr:rowOff>
    </xdr:from>
    <xdr:to>
      <xdr:col>9</xdr:col>
      <xdr:colOff>515617</xdr:colOff>
      <xdr:row>30</xdr:row>
      <xdr:rowOff>2980575</xdr:rowOff>
    </xdr:to>
    <xdr:pic>
      <xdr:nvPicPr>
        <xdr:cNvPr id="28" name="Immagine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77525" y="16640175"/>
          <a:ext cx="1268092" cy="2952000"/>
        </a:xfrm>
        <a:prstGeom prst="rect">
          <a:avLst/>
        </a:prstGeom>
      </xdr:spPr>
    </xdr:pic>
    <xdr:clientData/>
  </xdr:twoCellAnchor>
  <xdr:twoCellAnchor editAs="oneCell">
    <xdr:from>
      <xdr:col>10</xdr:col>
      <xdr:colOff>28575</xdr:colOff>
      <xdr:row>30</xdr:row>
      <xdr:rowOff>28575</xdr:rowOff>
    </xdr:from>
    <xdr:to>
      <xdr:col>11</xdr:col>
      <xdr:colOff>515617</xdr:colOff>
      <xdr:row>30</xdr:row>
      <xdr:rowOff>2980575</xdr:rowOff>
    </xdr:to>
    <xdr:pic>
      <xdr:nvPicPr>
        <xdr:cNvPr id="30" name="Immagine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39625" y="16640175"/>
          <a:ext cx="1268092" cy="295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30</xdr:row>
      <xdr:rowOff>28575</xdr:rowOff>
    </xdr:from>
    <xdr:to>
      <xdr:col>0</xdr:col>
      <xdr:colOff>1296667</xdr:colOff>
      <xdr:row>30</xdr:row>
      <xdr:rowOff>2980575</xdr:rowOff>
    </xdr:to>
    <xdr:pic>
      <xdr:nvPicPr>
        <xdr:cNvPr id="32" name="Immagine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6640175"/>
          <a:ext cx="1268092" cy="2952000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381000</xdr:colOff>
      <xdr:row>39</xdr:row>
      <xdr:rowOff>76200</xdr:rowOff>
    </xdr:from>
    <xdr:to>
      <xdr:col>6</xdr:col>
      <xdr:colOff>466725</xdr:colOff>
      <xdr:row>39</xdr:row>
      <xdr:rowOff>3962400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8920" y="22105620"/>
          <a:ext cx="3194685" cy="3886200"/>
        </a:xfrm>
        <a:prstGeom prst="rect">
          <a:avLst/>
        </a:prstGeom>
      </xdr:spPr>
    </xdr:pic>
    <xdr:clientData/>
  </xdr:twoCellAnchor>
  <xdr:twoCellAnchor editAs="oneCell">
    <xdr:from>
      <xdr:col>26</xdr:col>
      <xdr:colOff>47625</xdr:colOff>
      <xdr:row>30</xdr:row>
      <xdr:rowOff>28575</xdr:rowOff>
    </xdr:from>
    <xdr:to>
      <xdr:col>29</xdr:col>
      <xdr:colOff>290319</xdr:colOff>
      <xdr:row>30</xdr:row>
      <xdr:rowOff>2980575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id="{BAED8D36-5A93-E023-6C9C-A70FA687A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2325" y="16640175"/>
          <a:ext cx="2071494" cy="2952000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30</xdr:row>
      <xdr:rowOff>0</xdr:rowOff>
    </xdr:from>
    <xdr:to>
      <xdr:col>21</xdr:col>
      <xdr:colOff>255540</xdr:colOff>
      <xdr:row>30</xdr:row>
      <xdr:rowOff>3024000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id="{BAD4F87E-7A98-BAD3-9BE3-5AF98D801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61281" y="16664940"/>
          <a:ext cx="2084339" cy="3024000"/>
        </a:xfrm>
        <a:prstGeom prst="rect">
          <a:avLst/>
        </a:prstGeom>
      </xdr:spPr>
    </xdr:pic>
    <xdr:clientData/>
  </xdr:twoCellAnchor>
  <xdr:twoCellAnchor editAs="oneCell">
    <xdr:from>
      <xdr:col>22</xdr:col>
      <xdr:colOff>1</xdr:colOff>
      <xdr:row>30</xdr:row>
      <xdr:rowOff>0</xdr:rowOff>
    </xdr:from>
    <xdr:to>
      <xdr:col>25</xdr:col>
      <xdr:colOff>255540</xdr:colOff>
      <xdr:row>30</xdr:row>
      <xdr:rowOff>3024000</xdr:rowOff>
    </xdr:to>
    <xdr:pic>
      <xdr:nvPicPr>
        <xdr:cNvPr id="34" name="Immagine 33">
          <a:extLst>
            <a:ext uri="{FF2B5EF4-FFF2-40B4-BE49-F238E27FC236}">
              <a16:creationId xmlns:a16="http://schemas.microsoft.com/office/drawing/2014/main" id="{D2A669B4-C2D8-D459-094A-0563FE718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99681" y="16664940"/>
          <a:ext cx="2084339" cy="3024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</xdr:colOff>
      <xdr:row>30</xdr:row>
      <xdr:rowOff>0</xdr:rowOff>
    </xdr:from>
    <xdr:to>
      <xdr:col>17</xdr:col>
      <xdr:colOff>332286</xdr:colOff>
      <xdr:row>30</xdr:row>
      <xdr:rowOff>3024000</xdr:rowOff>
    </xdr:to>
    <xdr:pic>
      <xdr:nvPicPr>
        <xdr:cNvPr id="36" name="Immagine 35">
          <a:extLst>
            <a:ext uri="{FF2B5EF4-FFF2-40B4-BE49-F238E27FC236}">
              <a16:creationId xmlns:a16="http://schemas.microsoft.com/office/drawing/2014/main" id="{E5672FE6-011C-F07D-6426-DA6D57037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22881" y="16664940"/>
          <a:ext cx="2161085" cy="3024000"/>
        </a:xfrm>
        <a:prstGeom prst="rect">
          <a:avLst/>
        </a:prstGeom>
      </xdr:spPr>
    </xdr:pic>
    <xdr:clientData/>
  </xdr:twoCellAnchor>
  <xdr:twoCellAnchor editAs="oneCell">
    <xdr:from>
      <xdr:col>7</xdr:col>
      <xdr:colOff>160020</xdr:colOff>
      <xdr:row>39</xdr:row>
      <xdr:rowOff>38101</xdr:rowOff>
    </xdr:from>
    <xdr:to>
      <xdr:col>11</xdr:col>
      <xdr:colOff>762000</xdr:colOff>
      <xdr:row>39</xdr:row>
      <xdr:rowOff>3962401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BF4C542D-DA63-7E97-BCFA-893FEDC2F4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53" t="24962" r="39510" b="17071"/>
        <a:stretch/>
      </xdr:blipFill>
      <xdr:spPr>
        <a:xfrm>
          <a:off x="10287000" y="22067521"/>
          <a:ext cx="3802380" cy="3924300"/>
        </a:xfrm>
        <a:prstGeom prst="rect">
          <a:avLst/>
        </a:prstGeom>
      </xdr:spPr>
    </xdr:pic>
    <xdr:clientData/>
  </xdr:twoCellAnchor>
  <xdr:twoCellAnchor editAs="oneCell">
    <xdr:from>
      <xdr:col>5</xdr:col>
      <xdr:colOff>21059</xdr:colOff>
      <xdr:row>30</xdr:row>
      <xdr:rowOff>284922</xdr:rowOff>
    </xdr:from>
    <xdr:to>
      <xdr:col>5</xdr:col>
      <xdr:colOff>1359585</xdr:colOff>
      <xdr:row>31</xdr:row>
      <xdr:rowOff>6625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id="{D7C18656-992E-ABB0-6325-7F7B2512B7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86" t="11751" r="20350" b="1331"/>
        <a:stretch/>
      </xdr:blipFill>
      <xdr:spPr>
        <a:xfrm>
          <a:off x="7775530" y="17004098"/>
          <a:ext cx="1338526" cy="2769703"/>
        </a:xfrm>
        <a:prstGeom prst="rect">
          <a:avLst/>
        </a:prstGeom>
      </xdr:spPr>
    </xdr:pic>
    <xdr:clientData/>
  </xdr:twoCellAnchor>
  <xdr:twoCellAnchor editAs="oneCell">
    <xdr:from>
      <xdr:col>30</xdr:col>
      <xdr:colOff>549965</xdr:colOff>
      <xdr:row>39</xdr:row>
      <xdr:rowOff>39756</xdr:rowOff>
    </xdr:from>
    <xdr:to>
      <xdr:col>35</xdr:col>
      <xdr:colOff>397969</xdr:colOff>
      <xdr:row>39</xdr:row>
      <xdr:rowOff>1237130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id="{BE38F65E-F670-126C-0B54-09319D4FA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95965" y="22101897"/>
          <a:ext cx="2896004" cy="1197374"/>
        </a:xfrm>
        <a:prstGeom prst="rect">
          <a:avLst/>
        </a:prstGeom>
      </xdr:spPr>
    </xdr:pic>
    <xdr:clientData/>
  </xdr:twoCellAnchor>
  <xdr:twoCellAnchor editAs="oneCell">
    <xdr:from>
      <xdr:col>1</xdr:col>
      <xdr:colOff>143435</xdr:colOff>
      <xdr:row>39</xdr:row>
      <xdr:rowOff>8964</xdr:rowOff>
    </xdr:from>
    <xdr:to>
      <xdr:col>3</xdr:col>
      <xdr:colOff>1389529</xdr:colOff>
      <xdr:row>39</xdr:row>
      <xdr:rowOff>4007223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97B20AD2-78F5-222E-6C2B-3459BF5EF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BEBA8EAE-BF5A-486C-A8C5-ECC9F3942E4B}">
              <a14:imgProps xmlns:a14="http://schemas.microsoft.com/office/drawing/2010/main">
                <a14:imgLayer r:embed="rId27">
                  <a14:imgEffect>
                    <a14:sharpenSoften amount="58000"/>
                  </a14:imgEffect>
                  <a14:imgEffect>
                    <a14:brightnessContrast contrast="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4329" y="22071105"/>
          <a:ext cx="4347882" cy="3998259"/>
        </a:xfrm>
        <a:prstGeom prst="rect">
          <a:avLst/>
        </a:prstGeom>
      </xdr:spPr>
    </xdr:pic>
    <xdr:clientData/>
  </xdr:twoCellAnchor>
  <xdr:twoCellAnchor editAs="oneCell">
    <xdr:from>
      <xdr:col>30</xdr:col>
      <xdr:colOff>205153</xdr:colOff>
      <xdr:row>30</xdr:row>
      <xdr:rowOff>257908</xdr:rowOff>
    </xdr:from>
    <xdr:to>
      <xdr:col>33</xdr:col>
      <xdr:colOff>386862</xdr:colOff>
      <xdr:row>30</xdr:row>
      <xdr:rowOff>2866292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B83C6868-8AEA-10C8-DAD5-A74C4B1CBD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" t="6616" r="7771" b="3858"/>
        <a:stretch/>
      </xdr:blipFill>
      <xdr:spPr>
        <a:xfrm>
          <a:off x="25392184" y="16922262"/>
          <a:ext cx="2010509" cy="2608384"/>
        </a:xfrm>
        <a:prstGeom prst="rect">
          <a:avLst/>
        </a:prstGeom>
      </xdr:spPr>
    </xdr:pic>
    <xdr:clientData/>
  </xdr:twoCellAnchor>
  <xdr:twoCellAnchor editAs="oneCell">
    <xdr:from>
      <xdr:col>12</xdr:col>
      <xdr:colOff>121920</xdr:colOff>
      <xdr:row>39</xdr:row>
      <xdr:rowOff>76201</xdr:rowOff>
    </xdr:from>
    <xdr:to>
      <xdr:col>17</xdr:col>
      <xdr:colOff>480060</xdr:colOff>
      <xdr:row>39</xdr:row>
      <xdr:rowOff>3962403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id="{2D0F6D95-F2B9-7A6C-8308-B53565CE20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" t="53455" r="33176" b="560"/>
        <a:stretch/>
      </xdr:blipFill>
      <xdr:spPr>
        <a:xfrm rot="5400000">
          <a:off x="14047469" y="22307552"/>
          <a:ext cx="3886202" cy="3482340"/>
        </a:xfrm>
        <a:prstGeom prst="rect">
          <a:avLst/>
        </a:prstGeom>
      </xdr:spPr>
    </xdr:pic>
    <xdr:clientData/>
  </xdr:twoCellAnchor>
  <xdr:twoCellAnchor editAs="oneCell">
    <xdr:from>
      <xdr:col>30</xdr:col>
      <xdr:colOff>152400</xdr:colOff>
      <xdr:row>39</xdr:row>
      <xdr:rowOff>1302636</xdr:rowOff>
    </xdr:from>
    <xdr:to>
      <xdr:col>35</xdr:col>
      <xdr:colOff>441960</xdr:colOff>
      <xdr:row>39</xdr:row>
      <xdr:rowOff>3931920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61CF14C8-2B1A-5B22-C338-25055A3146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362"/>
        <a:stretch/>
      </xdr:blipFill>
      <xdr:spPr>
        <a:xfrm>
          <a:off x="25328880" y="23332056"/>
          <a:ext cx="3337560" cy="262928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08BF127-AF01-4613-8A2D-38286D1F8934}" name="Tabella2" displayName="Tabella2" ref="N31:N40" totalsRowShown="0" headerRowDxfId="538" dataDxfId="537" tableBorderDxfId="536">
  <autoFilter ref="N31:N40" xr:uid="{408BF127-AF01-4613-8A2D-38286D1F8934}"/>
  <tableColumns count="1">
    <tableColumn id="1" xr3:uid="{0B378744-F54A-485B-91CA-23D966CE909A}" name="MECCANISMO" dataDxfId="535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>
    <pageSetUpPr fitToPage="1"/>
  </sheetPr>
  <dimension ref="A1:CG135"/>
  <sheetViews>
    <sheetView showGridLines="0" showRowColHeaders="0" tabSelected="1" zoomScaleNormal="100" zoomScaleSheetLayoutView="100" workbookViewId="0">
      <selection activeCell="M9" sqref="M9:V10"/>
    </sheetView>
  </sheetViews>
  <sheetFormatPr defaultRowHeight="13.2"/>
  <cols>
    <col min="1" max="1" width="4.6640625" customWidth="1"/>
    <col min="2" max="3" width="3" customWidth="1"/>
    <col min="4" max="8" width="2.6640625" customWidth="1"/>
    <col min="9" max="12" width="2.5546875" customWidth="1"/>
    <col min="13" max="17" width="2.6640625" customWidth="1"/>
    <col min="18" max="19" width="5.109375" customWidth="1"/>
    <col min="20" max="21" width="4.6640625" customWidth="1"/>
    <col min="22" max="25" width="3.33203125" customWidth="1"/>
    <col min="26" max="26" width="8.6640625" customWidth="1"/>
    <col min="27" max="28" width="1.6640625" customWidth="1"/>
    <col min="29" max="32" width="2.6640625" customWidth="1"/>
    <col min="33" max="33" width="10.109375" customWidth="1"/>
    <col min="34" max="35" width="2.6640625" customWidth="1"/>
    <col min="36" max="36" width="6.5546875" customWidth="1"/>
    <col min="37" max="37" width="4.44140625" customWidth="1"/>
    <col min="38" max="38" width="4.6640625" customWidth="1"/>
    <col min="39" max="39" width="1.6640625" customWidth="1"/>
    <col min="40" max="40" width="9.6640625" customWidth="1"/>
    <col min="41" max="41" width="5.6640625" customWidth="1"/>
    <col min="42" max="42" width="1.6640625" customWidth="1"/>
    <col min="43" max="43" width="3.6640625" customWidth="1"/>
    <col min="44" max="44" width="2.6640625" customWidth="1"/>
    <col min="45" max="45" width="3.6640625" customWidth="1"/>
    <col min="46" max="47" width="1.44140625" customWidth="1"/>
    <col min="48" max="49" width="5.6640625" customWidth="1"/>
    <col min="50" max="50" width="6.6640625" customWidth="1"/>
    <col min="51" max="51" width="1.6640625" customWidth="1"/>
    <col min="52" max="52" width="3.6640625" customWidth="1"/>
    <col min="53" max="54" width="1.88671875" customWidth="1"/>
    <col min="55" max="55" width="4.6640625" customWidth="1"/>
    <col min="56" max="57" width="3.6640625" customWidth="1"/>
    <col min="58" max="58" width="2.6640625" customWidth="1"/>
    <col min="59" max="60" width="2.33203125" customWidth="1"/>
    <col min="61" max="62" width="5.6640625" customWidth="1"/>
    <col min="63" max="63" width="6.6640625" customWidth="1"/>
    <col min="64" max="64" width="1.6640625" customWidth="1"/>
    <col min="65" max="65" width="3.6640625" customWidth="1"/>
    <col min="66" max="67" width="1.88671875" customWidth="1"/>
    <col min="68" max="68" width="4.6640625" customWidth="1"/>
    <col min="69" max="70" width="3.6640625" customWidth="1"/>
    <col min="71" max="71" width="2.6640625" customWidth="1"/>
    <col min="72" max="73" width="2.33203125" customWidth="1"/>
    <col min="74" max="75" width="5.6640625" customWidth="1"/>
    <col min="76" max="76" width="6.6640625" customWidth="1"/>
    <col min="77" max="77" width="1.6640625" customWidth="1"/>
    <col min="78" max="78" width="3.6640625" customWidth="1"/>
    <col min="79" max="80" width="1.88671875" customWidth="1"/>
    <col min="81" max="81" width="4.6640625" customWidth="1"/>
    <col min="82" max="82" width="1.6640625" customWidth="1"/>
  </cols>
  <sheetData>
    <row r="1" spans="1:85" ht="15" customHeight="1">
      <c r="A1" s="390" t="s">
        <v>220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544" t="s">
        <v>218</v>
      </c>
      <c r="Q1" s="544"/>
      <c r="R1" s="544"/>
      <c r="S1" s="544"/>
      <c r="T1" s="544"/>
      <c r="U1" s="544"/>
      <c r="V1" s="544"/>
      <c r="W1" s="544"/>
      <c r="X1" s="544"/>
      <c r="Y1" s="544"/>
      <c r="Z1" s="544"/>
      <c r="AA1" s="544"/>
      <c r="AB1" s="544"/>
      <c r="AC1" s="544"/>
      <c r="AD1" s="544"/>
      <c r="AE1" s="544"/>
      <c r="AF1" s="545" t="s">
        <v>219</v>
      </c>
      <c r="AG1" s="545"/>
      <c r="AH1" s="545"/>
      <c r="AI1" s="545"/>
      <c r="AJ1" s="545"/>
      <c r="AK1" s="545"/>
      <c r="AL1" s="545"/>
      <c r="AM1" s="545"/>
      <c r="AN1" s="545"/>
      <c r="AO1" s="263"/>
      <c r="AP1" s="391" t="str">
        <f>IF(OR($AA$50&lt;&gt;"",$AA$54&lt;&gt;"",$AA$58&lt;&gt;"",$AA$62&lt;&gt;"",$AA$65&lt;&gt;"",$AR$8&lt;&gt;"",$AR$12&lt;&gt;"",$AR$15&lt;&gt;"",$AR$19&lt;&gt;"",$AR$23&lt;&gt;"",$AR$26&lt;&gt;"",$AR$29&lt;&gt;"",$AW$35&lt;&gt;"",$BE$8&lt;&gt;"",$BE$12&lt;&gt;"",$BE$15&lt;&gt;"",$BE$19&lt;&gt;"",$BE$23&lt;&gt;"",$BE$26&lt;&gt;"",$BE$29&lt;&gt;"",$BJ$35&lt;&gt;"",$BR$8&lt;&gt;"",$BR$12&lt;&gt;"",$BR$15&lt;&gt;"",$BR$19&lt;&gt;"",$BR$23&lt;&gt;"",$BR$26&lt;&gt;"",$BR$29&lt;&gt;"",$BW$35&lt;&gt;"",$AR$43&lt;&gt;"",$AR$47&lt;&gt;"",$AR$50&lt;&gt;"",$AR$54&lt;&gt;"",$AR$58&lt;&gt;"",$AR$61&lt;&gt;"",$AR$65&lt;&gt;"",$AW$71&lt;&gt;"",$BE$43&lt;&gt;"",$BE$47&lt;&gt;"",$BE$50&lt;&gt;"",$BE$54&lt;&gt;"",$BE$58&lt;&gt;"",$BE$61&lt;&gt;"",$BE$65&lt;&gt;"",$BJ$71&lt;&gt;""),"_","")</f>
        <v/>
      </c>
      <c r="AQ1" s="391"/>
      <c r="AR1" s="391"/>
      <c r="AS1" s="391"/>
      <c r="AT1" s="391"/>
      <c r="AU1" s="391"/>
      <c r="AV1" s="391"/>
      <c r="AW1" s="391"/>
      <c r="AX1" s="391"/>
      <c r="AY1" s="391"/>
      <c r="AZ1" s="391"/>
      <c r="BA1" s="391"/>
      <c r="BB1" s="391"/>
      <c r="BC1" s="391"/>
      <c r="BD1" s="249"/>
      <c r="BE1" s="249"/>
      <c r="BF1" s="249"/>
      <c r="BG1" s="249"/>
      <c r="BH1" s="249"/>
      <c r="BI1" s="249"/>
      <c r="BJ1" s="249"/>
      <c r="BK1" s="249"/>
      <c r="BL1" s="249"/>
      <c r="BM1" s="249"/>
      <c r="BN1" s="249"/>
      <c r="BO1" s="249"/>
      <c r="BP1" s="249"/>
      <c r="BQ1" s="249"/>
      <c r="BR1" s="249"/>
      <c r="BS1" s="249"/>
      <c r="BT1" s="249"/>
      <c r="BU1" s="249"/>
      <c r="BV1" s="249"/>
      <c r="BW1" s="249"/>
      <c r="BX1" s="249"/>
      <c r="BY1" s="249"/>
      <c r="BZ1" s="249"/>
      <c r="CA1" s="249"/>
      <c r="CB1" s="249"/>
      <c r="CC1" s="249"/>
      <c r="CD1" s="61"/>
      <c r="CE1" s="61"/>
      <c r="CF1" s="61"/>
      <c r="CG1" s="61"/>
    </row>
    <row r="2" spans="1:85" ht="12.9" customHeight="1">
      <c r="A2" s="394" t="str">
        <f>IF(AND(DATI!$Q$8&gt;0,AA50="FREE SPACE")," NO FREE SPACE SU PROFILI STRETTI",IF(AND(DATI!$Q$8&gt;0,AA54="FREE SPACE")," NO FREE SPACE SU PROFILI STRETTI",IF(AND(DATI!$Q$8&gt;0,AA58="FREE SPACE")," NO FREE SPACE SU PROFILI STRETTI",IF(AND(DATI!$Q$8&gt;0,AA62="FREE SPACE")," NO FREE SPACE SU PROFILI STRETTI",IF(AND(DATI!$Q$8&gt;0,AA65="FREE SPACE")," NO FREE SPACE SU PROFILI STRETTI",IF($M$9="","CLICCA E SELEZIONA SE RITIRARE MERCE IN VPA O SE VOLETE LA CONSEGNA",IF($M$12="","COMPILA IL CAMPO DELLA RAGIONE SOCIALE",IF($M$15="","COMPILA IL CAMPO CITTA'",IF($M$23="","CLICCA E SCEGLI SE E' MONTATA O SMONTATA",IF($M$26="","CLICCA E SELEZIONA IL PROFILO SCELTO",IF(M29="","CLICCA E SELEZIONA LA FINITURA SCELTA",IF(M30="","CLICCA E SELEZIONA SE VOLETE LE CERNIERE OPPURE NO",IF(M33="","CLICCA E SELEZIONA PER QUALE CERNIERA FARE LA PREDISPOSIZIONE",IF(AND(M35="",M30="SI"),"CLICCA E SELEZIONA LA FINITURA DELLE CERNIERE SCELTE",IF(AND($A$37="CON SUPPORTI PER CERNIERE?",M37=""),"CLICCA E SELEZIONA SE NECESSITI DI SUPPORTI PER CERNIERE DS20",IF(M38="","CLICCA E SELEZIONA VETRO, NO VETRO OPPURE GRES",IF(AND(DATI!L27=3,B49=""),"SCRIVERE IL N° DI ANTE UGUALI DA PRODURRE",IF(AND(B49&gt;0,D49="",DATI!L27=3),"ALTEZZA",IF(AND(B49&gt;0,M49="",DATI!L27=3),"LARGHEZZA",IF(AND($I$49="",$R$49="",OR($M$26="art. PR30",$M$26="art. PR20"),OR($M$33="DS 30",$M$33="DS 20")),"SCRIVI 2 SUL LATO DI ROTAZIONE (CAVE DA ESEGUIRE SU ALTEZZA O LARGHEZZA)",IF(AND(M49&gt;0,I49="",R49=""),"FORI CERNIERE SU ALTEZZA O LARGHEZZA,                                         SENZA FORI SCRIVI  0  (SUL LATO DI ROTAZIONE)",IF(OR(I49&gt;0,R49&gt;0)*AND(SUM(V49:Y52)&lt;&gt;B49,AND(OR(M33="DS 30",M33="DS 20"))),"IL SORMONTO E' DATO DALLA FORATURA SU CAPPELLO E BASAMENTO;   SCRIVI QUANTE ANTE  SX o DX",IF(OR(I49&gt;0,R49&gt;0)*AND(M33&lt;&gt;"DS 30",M33&lt;&gt;"DS 20",T49=""),"CERNIERE VPA SCRIVI IL SORMONTO, -3  SE E' IN LUCE , PER ALTRI MARCHI SCRIVI IL 'K', PER SPECCHIERA SCRIVI 'ASOLE'",IF(OR(I49&gt;0,R49&gt;0)*AND(T49&lt;&gt;"",T49&lt;&gt;"ASOLE",V49+X49&lt;&gt;B49),"QUANTE ANTE  SX o DX",IF(OR(AND(R49&lt;&gt;"",R49=0,AA50="",$AW$35=""),AND(I49&lt;&gt;"",I49=0,AA50="",$AW$35="")),"ORDINE OK, NEI CAMPI VERDI CLICCA A DX SE CON MANIGLIA E SOTTO PER FORATURE PARTICOLARI",IF(OR($V$49&gt;0,$X$49&gt;0)*AND($V$49+$X$49=$B$49,B49&gt;0,AA50="",$AW$35=""),"ORDINE OK, NEI CAMPI VERDI CLICCA A DX SE CON MANIGLIA E SOTTO PER FORATURE PARTICOLARI",IF(OR(AH50="",AJ50="",AL50="")*AND(AA50&lt;&gt;""),"COMPILA I 3 CAMPI EVIDENZIATI",IF(AND(AH50&lt;&gt;"",AJ50&lt;&gt;"",AL50&lt;&gt;"",AW35=""),"SE CON MANIGLIA CLICCA NELLA PAGINA A DX",IF(AND(AW35&lt;&gt;"",AX35=""),"SELEZIONARE LA MANIGLIA DA INTEGRARE OPPURE I FORI PER MANIGLIA O POMOLO",IF(AND($AZ$23="",$AX$33="",$AX$4="")*AND(DATI!$AA$51="CON MANIGLIA AX24"),"SCRIVI NEI CAMPI COLOR ARANCIONE  ' M '                                                       DOVE VUOI LA MANIGLIA",IF(AND(AX35="Fori Ø 5 passo",BC35=""),"SCRIVI IL PASSO MANIGLIA, PER POMOLO SCRIVI 'P'",IF(AND(AX35="Fori Ø 5 passo",BC35&lt;&gt;"",AX33="",AZ23="",AX4=""),"SCRIVI LA DISTANZA DA SPIGOLO ANTA AD INIZIO MANIGLIA NEL RELATIVO CAMPO COLOR ARANCIONE",IF(AND(AX35&lt;&gt;"Fori Ø 5 passo",AX35&lt;&gt;"",AX33="",AZ23="",AX4=""),"SCRIVI LA DISTANZA DA SPIGOLO ANTA AD INIZIO MANIGLIA NEL RELATIVO CAMPO COLOR ARANCIONE",IF(OR(AX33&lt;&gt;"",AZ23&lt;&gt;"",AX4&lt;&gt;""),"OK","OK"))))))))))))))))))))))))))))))))))</f>
        <v>CLICCA E SELEZIONA SE RITIRARE MERCE IN VPA O SE VOLETE LA CONSEGNA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394"/>
      <c r="O2" s="394"/>
      <c r="P2" s="394"/>
      <c r="Q2" s="394"/>
      <c r="R2" s="394"/>
      <c r="S2" s="394"/>
      <c r="T2" s="394"/>
      <c r="U2" s="394"/>
      <c r="V2" s="394"/>
      <c r="W2" s="394"/>
      <c r="X2" s="394"/>
      <c r="Y2" s="394"/>
      <c r="Z2" s="394"/>
      <c r="AA2" s="394"/>
      <c r="AB2" s="394"/>
      <c r="AC2" s="506"/>
      <c r="AD2" s="506"/>
      <c r="AE2" s="506"/>
      <c r="AF2" s="506"/>
      <c r="AG2" s="506"/>
      <c r="AH2" s="506"/>
      <c r="AI2" s="506"/>
      <c r="AJ2" s="506"/>
      <c r="AK2" s="506"/>
      <c r="AL2" s="506"/>
      <c r="AM2" s="506"/>
      <c r="AN2" s="506"/>
      <c r="AO2" s="265"/>
      <c r="AP2" s="393"/>
      <c r="AQ2" s="393"/>
      <c r="AR2" s="393"/>
      <c r="AS2" s="393"/>
      <c r="AT2" s="393"/>
      <c r="AU2" s="393"/>
      <c r="AV2" s="106" t="str">
        <f>IF($V$49&gt;0,"N° SX","")</f>
        <v/>
      </c>
      <c r="AW2" s="432" t="str">
        <f>IF(OR($I$49&gt;0,$R$49&gt;0),"A","")</f>
        <v/>
      </c>
      <c r="AX2" s="106" t="str">
        <f>IF($X$49&gt;0,"N° DX","")</f>
        <v/>
      </c>
      <c r="AY2" s="393"/>
      <c r="AZ2" s="393"/>
      <c r="BA2" s="393"/>
      <c r="BB2" s="393"/>
      <c r="BC2" s="433"/>
      <c r="BD2" s="393"/>
      <c r="BE2" s="393"/>
      <c r="BF2" s="393"/>
      <c r="BG2" s="393"/>
      <c r="BH2" s="393"/>
      <c r="BI2" s="106" t="str">
        <f>IF($V$53&gt;0,"N° SX","")</f>
        <v/>
      </c>
      <c r="BJ2" s="432" t="str">
        <f>IF(OR($I$53&gt;0,$R$53&gt;0),"B","")</f>
        <v/>
      </c>
      <c r="BK2" s="106" t="str">
        <f>IF($X$53&gt;0,"N° DX","")</f>
        <v/>
      </c>
      <c r="BL2" s="393"/>
      <c r="BM2" s="393"/>
      <c r="BN2" s="393"/>
      <c r="BO2" s="393"/>
      <c r="BP2" s="433"/>
      <c r="BQ2" s="393"/>
      <c r="BR2" s="393"/>
      <c r="BS2" s="393"/>
      <c r="BT2" s="393"/>
      <c r="BU2" s="393"/>
      <c r="BV2" s="106" t="str">
        <f>IF($V$57&gt;0,"N° SX","")</f>
        <v/>
      </c>
      <c r="BW2" s="432" t="str">
        <f>IF(OR($I$57&gt;0,$R$57&gt;0),"C","")</f>
        <v/>
      </c>
      <c r="BX2" s="106" t="str">
        <f>IF($X$57&gt;0,"N° DX","")</f>
        <v/>
      </c>
      <c r="BY2" s="393"/>
      <c r="BZ2" s="393"/>
      <c r="CA2" s="393"/>
      <c r="CB2" s="393"/>
      <c r="CC2" s="393"/>
      <c r="CD2" s="61"/>
      <c r="CE2" s="61"/>
      <c r="CF2" s="61"/>
      <c r="CG2" s="61"/>
    </row>
    <row r="3" spans="1:85" ht="12.9" customHeight="1">
      <c r="A3" s="394"/>
      <c r="B3" s="394"/>
      <c r="C3" s="394"/>
      <c r="D3" s="394"/>
      <c r="E3" s="394"/>
      <c r="F3" s="394"/>
      <c r="G3" s="394"/>
      <c r="H3" s="394"/>
      <c r="I3" s="394"/>
      <c r="J3" s="394"/>
      <c r="K3" s="394"/>
      <c r="L3" s="394"/>
      <c r="M3" s="394"/>
      <c r="N3" s="394"/>
      <c r="O3" s="394"/>
      <c r="P3" s="394"/>
      <c r="Q3" s="394"/>
      <c r="R3" s="394"/>
      <c r="S3" s="394"/>
      <c r="T3" s="394"/>
      <c r="U3" s="394"/>
      <c r="V3" s="394"/>
      <c r="W3" s="394"/>
      <c r="X3" s="394"/>
      <c r="Y3" s="394"/>
      <c r="Z3" s="394"/>
      <c r="AA3" s="394"/>
      <c r="AB3" s="394"/>
      <c r="AC3" s="506"/>
      <c r="AD3" s="506"/>
      <c r="AE3" s="506"/>
      <c r="AF3" s="506"/>
      <c r="AG3" s="506"/>
      <c r="AH3" s="506"/>
      <c r="AI3" s="506"/>
      <c r="AJ3" s="506"/>
      <c r="AK3" s="506"/>
      <c r="AL3" s="506"/>
      <c r="AM3" s="506"/>
      <c r="AN3" s="506"/>
      <c r="AO3" s="265"/>
      <c r="AP3" s="393"/>
      <c r="AQ3" s="393"/>
      <c r="AR3" s="393"/>
      <c r="AS3" s="393"/>
      <c r="AT3" s="393"/>
      <c r="AU3" s="393"/>
      <c r="AV3" s="63" t="str">
        <f>IF($V$49&gt;0,$V$49,"")</f>
        <v/>
      </c>
      <c r="AW3" s="432"/>
      <c r="AX3" s="63" t="str">
        <f>IF($X$49&gt;0,$X$49,"")</f>
        <v/>
      </c>
      <c r="AY3" s="393"/>
      <c r="AZ3" s="393"/>
      <c r="BA3" s="393"/>
      <c r="BB3" s="393"/>
      <c r="BC3" s="433"/>
      <c r="BD3" s="393"/>
      <c r="BE3" s="393"/>
      <c r="BF3" s="393"/>
      <c r="BG3" s="393"/>
      <c r="BH3" s="393"/>
      <c r="BI3" s="63" t="str">
        <f>IF($V$53&gt;0,$V$53,"")</f>
        <v/>
      </c>
      <c r="BJ3" s="432"/>
      <c r="BK3" s="63" t="str">
        <f>IF($X$53&gt;0,$X$53,"")</f>
        <v/>
      </c>
      <c r="BL3" s="393"/>
      <c r="BM3" s="393"/>
      <c r="BN3" s="393"/>
      <c r="BO3" s="393"/>
      <c r="BP3" s="433"/>
      <c r="BQ3" s="393"/>
      <c r="BR3" s="393"/>
      <c r="BS3" s="393"/>
      <c r="BT3" s="393"/>
      <c r="BU3" s="393"/>
      <c r="BV3" s="63" t="str">
        <f>IF($V$57&gt;0,$V$57,"")</f>
        <v/>
      </c>
      <c r="BW3" s="432"/>
      <c r="BX3" s="63" t="str">
        <f>IF($X$57&gt;0,$X$57,"")</f>
        <v/>
      </c>
      <c r="BY3" s="393"/>
      <c r="BZ3" s="393"/>
      <c r="CA3" s="393"/>
      <c r="CB3" s="393"/>
      <c r="CC3" s="393"/>
      <c r="CD3" s="61"/>
      <c r="CE3" s="61"/>
      <c r="CF3" s="61"/>
      <c r="CG3" s="61"/>
    </row>
    <row r="4" spans="1:85" ht="6.9" customHeight="1">
      <c r="A4" s="394"/>
      <c r="B4" s="394"/>
      <c r="C4" s="394"/>
      <c r="D4" s="394"/>
      <c r="E4" s="394"/>
      <c r="F4" s="394"/>
      <c r="G4" s="394"/>
      <c r="H4" s="394"/>
      <c r="I4" s="394"/>
      <c r="J4" s="394"/>
      <c r="K4" s="394"/>
      <c r="L4" s="394"/>
      <c r="M4" s="394"/>
      <c r="N4" s="394"/>
      <c r="O4" s="394"/>
      <c r="P4" s="394"/>
      <c r="Q4" s="394"/>
      <c r="R4" s="394"/>
      <c r="S4" s="394"/>
      <c r="T4" s="394"/>
      <c r="U4" s="394"/>
      <c r="V4" s="394"/>
      <c r="W4" s="394"/>
      <c r="X4" s="394"/>
      <c r="Y4" s="394"/>
      <c r="Z4" s="394"/>
      <c r="AA4" s="394"/>
      <c r="AB4" s="394"/>
      <c r="AC4" s="506"/>
      <c r="AD4" s="506"/>
      <c r="AE4" s="506"/>
      <c r="AF4" s="506"/>
      <c r="AG4" s="506"/>
      <c r="AH4" s="506"/>
      <c r="AI4" s="506"/>
      <c r="AJ4" s="506"/>
      <c r="AK4" s="506"/>
      <c r="AL4" s="506"/>
      <c r="AM4" s="506"/>
      <c r="AN4" s="506"/>
      <c r="AO4" s="265"/>
      <c r="AP4" s="393"/>
      <c r="AQ4" s="393"/>
      <c r="AR4" s="393"/>
      <c r="AS4" s="393"/>
      <c r="AT4" s="393"/>
      <c r="AU4" s="393"/>
      <c r="AV4" s="430"/>
      <c r="AW4" s="431"/>
      <c r="AX4" s="434"/>
      <c r="AY4" s="393"/>
      <c r="AZ4" s="393"/>
      <c r="BA4" s="393"/>
      <c r="BB4" s="393"/>
      <c r="BC4" s="433"/>
      <c r="BD4" s="393"/>
      <c r="BE4" s="393"/>
      <c r="BF4" s="393"/>
      <c r="BG4" s="393"/>
      <c r="BH4" s="393"/>
      <c r="BI4" s="430"/>
      <c r="BJ4" s="431"/>
      <c r="BK4" s="431"/>
      <c r="BL4" s="393"/>
      <c r="BM4" s="393"/>
      <c r="BN4" s="393"/>
      <c r="BO4" s="393"/>
      <c r="BP4" s="433"/>
      <c r="BQ4" s="393"/>
      <c r="BR4" s="393"/>
      <c r="BS4" s="393"/>
      <c r="BT4" s="393"/>
      <c r="BU4" s="393"/>
      <c r="BV4" s="430"/>
      <c r="BW4" s="431"/>
      <c r="BX4" s="434"/>
      <c r="BY4" s="393"/>
      <c r="BZ4" s="393"/>
      <c r="CA4" s="393"/>
      <c r="CB4" s="393"/>
      <c r="CC4" s="393"/>
      <c r="CD4" s="61"/>
      <c r="CE4" s="61"/>
      <c r="CF4" s="61"/>
      <c r="CG4" s="61"/>
    </row>
    <row r="5" spans="1:85" ht="8.1" customHeight="1">
      <c r="A5" s="394"/>
      <c r="B5" s="394"/>
      <c r="C5" s="394"/>
      <c r="D5" s="394"/>
      <c r="E5" s="394"/>
      <c r="F5" s="394"/>
      <c r="G5" s="394"/>
      <c r="H5" s="394"/>
      <c r="I5" s="394"/>
      <c r="J5" s="394"/>
      <c r="K5" s="394"/>
      <c r="L5" s="394"/>
      <c r="M5" s="394"/>
      <c r="N5" s="394"/>
      <c r="O5" s="394"/>
      <c r="P5" s="394"/>
      <c r="Q5" s="394"/>
      <c r="R5" s="394"/>
      <c r="S5" s="394"/>
      <c r="T5" s="394"/>
      <c r="U5" s="394"/>
      <c r="V5" s="394"/>
      <c r="W5" s="394"/>
      <c r="X5" s="394"/>
      <c r="Y5" s="394"/>
      <c r="Z5" s="394"/>
      <c r="AA5" s="394"/>
      <c r="AB5" s="394"/>
      <c r="AC5" s="506"/>
      <c r="AD5" s="506"/>
      <c r="AE5" s="506"/>
      <c r="AF5" s="506"/>
      <c r="AG5" s="506"/>
      <c r="AH5" s="506"/>
      <c r="AI5" s="506"/>
      <c r="AJ5" s="506"/>
      <c r="AK5" s="506"/>
      <c r="AL5" s="506"/>
      <c r="AM5" s="506"/>
      <c r="AN5" s="506"/>
      <c r="AO5" s="265"/>
      <c r="AP5" s="393"/>
      <c r="AQ5" s="393"/>
      <c r="AR5" s="393"/>
      <c r="AS5" s="393"/>
      <c r="AT5" s="393"/>
      <c r="AU5" s="393"/>
      <c r="AV5" s="430"/>
      <c r="AW5" s="431"/>
      <c r="AX5" s="431"/>
      <c r="AY5" s="393"/>
      <c r="AZ5" s="393"/>
      <c r="BA5" s="393"/>
      <c r="BB5" s="393"/>
      <c r="BC5" s="433"/>
      <c r="BD5" s="393"/>
      <c r="BE5" s="393"/>
      <c r="BF5" s="393"/>
      <c r="BG5" s="393"/>
      <c r="BH5" s="393"/>
      <c r="BI5" s="430"/>
      <c r="BJ5" s="431"/>
      <c r="BK5" s="431"/>
      <c r="BL5" s="393"/>
      <c r="BM5" s="393"/>
      <c r="BN5" s="393"/>
      <c r="BO5" s="393"/>
      <c r="BP5" s="433"/>
      <c r="BQ5" s="393"/>
      <c r="BR5" s="393"/>
      <c r="BS5" s="393"/>
      <c r="BT5" s="393"/>
      <c r="BU5" s="393"/>
      <c r="BV5" s="430"/>
      <c r="BW5" s="431"/>
      <c r="BX5" s="431"/>
      <c r="BY5" s="393"/>
      <c r="BZ5" s="393"/>
      <c r="CA5" s="393"/>
      <c r="CB5" s="393"/>
      <c r="CC5" s="393"/>
      <c r="CD5" s="61"/>
      <c r="CE5" s="61"/>
      <c r="CF5" s="61"/>
      <c r="CG5" s="61"/>
    </row>
    <row r="6" spans="1:85" ht="5.0999999999999996" customHeight="1">
      <c r="A6" s="394"/>
      <c r="B6" s="394"/>
      <c r="C6" s="394"/>
      <c r="D6" s="394"/>
      <c r="E6" s="394"/>
      <c r="F6" s="394"/>
      <c r="G6" s="394"/>
      <c r="H6" s="394"/>
      <c r="I6" s="394"/>
      <c r="J6" s="394"/>
      <c r="K6" s="394"/>
      <c r="L6" s="394"/>
      <c r="M6" s="394"/>
      <c r="N6" s="394"/>
      <c r="O6" s="394"/>
      <c r="P6" s="394"/>
      <c r="Q6" s="394"/>
      <c r="R6" s="394"/>
      <c r="S6" s="394"/>
      <c r="T6" s="394"/>
      <c r="U6" s="394"/>
      <c r="V6" s="394"/>
      <c r="W6" s="394"/>
      <c r="X6" s="394"/>
      <c r="Y6" s="394"/>
      <c r="Z6" s="394"/>
      <c r="AA6" s="394"/>
      <c r="AB6" s="394"/>
      <c r="AC6" s="506"/>
      <c r="AD6" s="506"/>
      <c r="AE6" s="506"/>
      <c r="AF6" s="506"/>
      <c r="AG6" s="506"/>
      <c r="AH6" s="506"/>
      <c r="AI6" s="506"/>
      <c r="AJ6" s="506"/>
      <c r="AK6" s="506"/>
      <c r="AL6" s="506"/>
      <c r="AM6" s="506"/>
      <c r="AN6" s="506"/>
      <c r="AO6" s="265"/>
      <c r="AP6" s="435" t="str">
        <f>IF('dati immagini'!A21&lt;&gt;"",'dati immagini'!A21,'dati immagini'!A27)</f>
        <v/>
      </c>
      <c r="AQ6" s="435"/>
      <c r="AT6" s="393"/>
      <c r="AU6" s="393"/>
      <c r="AV6" s="393"/>
      <c r="AW6" s="393"/>
      <c r="AX6" s="393"/>
      <c r="AY6" s="393"/>
      <c r="AZ6" s="393"/>
      <c r="BA6" s="393"/>
      <c r="BB6" s="518" t="str">
        <f>IF(SUM(AR12+AR15+AR19+AR23+AR26)=0,"",SUM(AR8+AR12+AR15+AR19+AR23+AR26+AR29))</f>
        <v/>
      </c>
      <c r="BC6" s="518"/>
      <c r="BD6" s="435" t="str">
        <f>IF('dati immagini'!C21&lt;&gt;"",'dati immagini'!C21,'dati immagini'!C27)</f>
        <v/>
      </c>
      <c r="BG6" s="393"/>
      <c r="BH6" s="393"/>
      <c r="BI6" s="393"/>
      <c r="BJ6" s="393"/>
      <c r="BK6" s="393"/>
      <c r="BL6" s="393"/>
      <c r="BM6" s="393"/>
      <c r="BN6" s="393"/>
      <c r="BO6" s="518" t="str">
        <f>IF(SUM(BE12+BE15+BE19+BE23+BE26)=0,"",SUM(BE8+BE12+BE15+BE19+BE23+BE26+BE29))</f>
        <v/>
      </c>
      <c r="BP6" s="518"/>
      <c r="BQ6" s="435" t="str">
        <f>IF('dati immagini'!E21&lt;&gt;"",'dati immagini'!E21,'dati immagini'!E27)</f>
        <v/>
      </c>
      <c r="BT6" s="393"/>
      <c r="BU6" s="393"/>
      <c r="BV6" s="393"/>
      <c r="BW6" s="393"/>
      <c r="BX6" s="393"/>
      <c r="BY6" s="393"/>
      <c r="BZ6" s="393"/>
      <c r="CA6" s="393"/>
      <c r="CB6" s="515" t="str">
        <f>IF(SUM(BR12+BR15+BR19+BR23+BR26)=0,"",SUM(BR8+BR12+BR15+BR19+BR23+BR26+BR29))</f>
        <v/>
      </c>
      <c r="CC6" s="515"/>
      <c r="CD6" s="61"/>
      <c r="CE6" s="61"/>
      <c r="CF6" s="61"/>
      <c r="CG6" s="61"/>
    </row>
    <row r="7" spans="1:85" ht="9" customHeight="1">
      <c r="A7" s="388"/>
      <c r="B7" s="388"/>
      <c r="C7" s="388"/>
      <c r="D7" s="388"/>
      <c r="E7" s="388"/>
      <c r="F7" s="388"/>
      <c r="G7" s="388"/>
      <c r="H7" s="388"/>
      <c r="I7" s="388"/>
      <c r="J7" s="388"/>
      <c r="K7" s="388"/>
      <c r="L7" s="388"/>
      <c r="M7" s="546" t="str">
        <f>IF(CARTELLINO!G3&lt;&gt;"",CARTELLINO!G3,"")</f>
        <v/>
      </c>
      <c r="N7" s="547"/>
      <c r="O7" s="547"/>
      <c r="P7" s="547"/>
      <c r="Q7" s="547"/>
      <c r="R7" s="547"/>
      <c r="S7" s="547"/>
      <c r="T7" s="547"/>
      <c r="U7" s="547"/>
      <c r="V7" s="547"/>
      <c r="W7" s="547"/>
      <c r="X7" s="547"/>
      <c r="Y7" s="547"/>
      <c r="Z7" s="547"/>
      <c r="AA7" s="547"/>
      <c r="AB7" s="547"/>
      <c r="AC7" s="506"/>
      <c r="AD7" s="506"/>
      <c r="AE7" s="506"/>
      <c r="AF7" s="506"/>
      <c r="AG7" s="506"/>
      <c r="AH7" s="506"/>
      <c r="AI7" s="506"/>
      <c r="AJ7" s="506"/>
      <c r="AK7" s="506"/>
      <c r="AL7" s="506"/>
      <c r="AM7" s="506"/>
      <c r="AN7" s="506"/>
      <c r="AO7" s="265"/>
      <c r="AP7" s="435"/>
      <c r="AQ7" s="435"/>
      <c r="AT7" s="393"/>
      <c r="AU7" s="393"/>
      <c r="AV7" s="393"/>
      <c r="AW7" s="393"/>
      <c r="AX7" s="393"/>
      <c r="AY7" s="393"/>
      <c r="AZ7" s="393"/>
      <c r="BA7" s="393"/>
      <c r="BB7" s="518"/>
      <c r="BC7" s="518"/>
      <c r="BD7" s="435"/>
      <c r="BG7" s="393"/>
      <c r="BH7" s="393"/>
      <c r="BI7" s="393"/>
      <c r="BJ7" s="393"/>
      <c r="BK7" s="393"/>
      <c r="BL7" s="393"/>
      <c r="BM7" s="393"/>
      <c r="BN7" s="393"/>
      <c r="BO7" s="518"/>
      <c r="BP7" s="518"/>
      <c r="BQ7" s="435"/>
      <c r="BT7" s="393"/>
      <c r="BU7" s="393"/>
      <c r="BV7" s="393"/>
      <c r="BW7" s="393"/>
      <c r="BX7" s="393"/>
      <c r="BY7" s="393"/>
      <c r="BZ7" s="393"/>
      <c r="CA7" s="393"/>
      <c r="CB7" s="515"/>
      <c r="CC7" s="515"/>
      <c r="CD7" s="61"/>
      <c r="CE7" s="61"/>
      <c r="CF7" s="61"/>
      <c r="CG7" s="61"/>
    </row>
    <row r="8" spans="1:85" ht="3" customHeight="1">
      <c r="A8" s="388"/>
      <c r="B8" s="388"/>
      <c r="C8" s="388"/>
      <c r="D8" s="388"/>
      <c r="E8" s="388"/>
      <c r="F8" s="388"/>
      <c r="G8" s="388"/>
      <c r="H8" s="388"/>
      <c r="I8" s="388"/>
      <c r="J8" s="388"/>
      <c r="K8" s="388"/>
      <c r="L8" s="388"/>
      <c r="M8" s="547"/>
      <c r="N8" s="547"/>
      <c r="O8" s="547"/>
      <c r="P8" s="547"/>
      <c r="Q8" s="547"/>
      <c r="R8" s="547"/>
      <c r="S8" s="547"/>
      <c r="T8" s="547"/>
      <c r="U8" s="547"/>
      <c r="V8" s="547"/>
      <c r="W8" s="547"/>
      <c r="X8" s="547"/>
      <c r="Y8" s="547"/>
      <c r="Z8" s="547"/>
      <c r="AA8" s="547"/>
      <c r="AB8" s="547"/>
      <c r="AC8" s="506"/>
      <c r="AD8" s="506"/>
      <c r="AE8" s="506"/>
      <c r="AF8" s="506"/>
      <c r="AG8" s="506"/>
      <c r="AH8" s="506"/>
      <c r="AI8" s="506"/>
      <c r="AJ8" s="506"/>
      <c r="AK8" s="506"/>
      <c r="AL8" s="506"/>
      <c r="AM8" s="506"/>
      <c r="AN8" s="506"/>
      <c r="AO8" s="265"/>
      <c r="AP8" s="435"/>
      <c r="AQ8" s="435"/>
      <c r="AR8" s="392"/>
      <c r="AS8" s="392"/>
      <c r="AT8" s="393"/>
      <c r="AU8" s="393"/>
      <c r="AV8" s="393"/>
      <c r="AW8" s="393"/>
      <c r="AX8" s="393"/>
      <c r="AY8" s="393"/>
      <c r="AZ8" s="393"/>
      <c r="BA8" s="393"/>
      <c r="BB8" s="518"/>
      <c r="BC8" s="518"/>
      <c r="BD8" s="435"/>
      <c r="BE8" s="392"/>
      <c r="BF8" s="392"/>
      <c r="BG8" s="393"/>
      <c r="BH8" s="393"/>
      <c r="BI8" s="393"/>
      <c r="BJ8" s="393"/>
      <c r="BK8" s="393"/>
      <c r="BL8" s="393"/>
      <c r="BM8" s="393"/>
      <c r="BN8" s="393"/>
      <c r="BO8" s="518"/>
      <c r="BP8" s="518"/>
      <c r="BQ8" s="435"/>
      <c r="BR8" s="392"/>
      <c r="BS8" s="392"/>
      <c r="BT8" s="393"/>
      <c r="BU8" s="393"/>
      <c r="BV8" s="393"/>
      <c r="BW8" s="393"/>
      <c r="BX8" s="393"/>
      <c r="BY8" s="393"/>
      <c r="BZ8" s="393"/>
      <c r="CA8" s="393"/>
      <c r="CB8" s="515"/>
      <c r="CC8" s="515"/>
      <c r="CD8" s="61"/>
      <c r="CE8" s="61"/>
      <c r="CF8" s="61"/>
      <c r="CG8" s="61"/>
    </row>
    <row r="9" spans="1:85" ht="12.9" customHeight="1">
      <c r="A9" s="396" t="s">
        <v>227</v>
      </c>
      <c r="B9" s="396"/>
      <c r="C9" s="396"/>
      <c r="D9" s="396"/>
      <c r="E9" s="396"/>
      <c r="F9" s="396"/>
      <c r="G9" s="396"/>
      <c r="H9" s="396"/>
      <c r="I9" s="396"/>
      <c r="J9" s="396"/>
      <c r="K9" s="396"/>
      <c r="L9" s="396"/>
      <c r="M9" s="397"/>
      <c r="N9" s="397"/>
      <c r="O9" s="397"/>
      <c r="P9" s="397"/>
      <c r="Q9" s="397"/>
      <c r="R9" s="397"/>
      <c r="S9" s="397"/>
      <c r="T9" s="397"/>
      <c r="U9" s="397"/>
      <c r="V9" s="397"/>
      <c r="W9" s="393"/>
      <c r="X9" s="393"/>
      <c r="Y9" s="393"/>
      <c r="Z9" s="393"/>
      <c r="AA9" s="393"/>
      <c r="AB9" s="393"/>
      <c r="AC9" s="506"/>
      <c r="AD9" s="506"/>
      <c r="AE9" s="506"/>
      <c r="AF9" s="506"/>
      <c r="AG9" s="506"/>
      <c r="AH9" s="506"/>
      <c r="AI9" s="506"/>
      <c r="AJ9" s="506"/>
      <c r="AK9" s="506"/>
      <c r="AL9" s="506"/>
      <c r="AM9" s="506"/>
      <c r="AN9" s="506"/>
      <c r="AO9" s="265"/>
      <c r="AP9" s="435"/>
      <c r="AQ9" s="435"/>
      <c r="AR9" s="392"/>
      <c r="AS9" s="392"/>
      <c r="AT9" s="393"/>
      <c r="AU9" s="393"/>
      <c r="AV9" s="393"/>
      <c r="AW9" s="393"/>
      <c r="AX9" s="393"/>
      <c r="AY9" s="393"/>
      <c r="AZ9" s="393"/>
      <c r="BA9" s="393"/>
      <c r="BB9" s="518"/>
      <c r="BC9" s="518"/>
      <c r="BD9" s="435"/>
      <c r="BE9" s="392"/>
      <c r="BF9" s="392"/>
      <c r="BG9" s="393"/>
      <c r="BH9" s="393"/>
      <c r="BI9" s="393"/>
      <c r="BJ9" s="393"/>
      <c r="BK9" s="393"/>
      <c r="BL9" s="393"/>
      <c r="BM9" s="393"/>
      <c r="BN9" s="393"/>
      <c r="BO9" s="518"/>
      <c r="BP9" s="518"/>
      <c r="BQ9" s="435"/>
      <c r="BR9" s="392"/>
      <c r="BS9" s="392"/>
      <c r="BT9" s="393"/>
      <c r="BU9" s="393"/>
      <c r="BV9" s="393"/>
      <c r="BW9" s="393"/>
      <c r="BX9" s="393"/>
      <c r="BY9" s="393"/>
      <c r="BZ9" s="393"/>
      <c r="CA9" s="393"/>
      <c r="CB9" s="515"/>
      <c r="CC9" s="515"/>
      <c r="CD9" s="61"/>
      <c r="CE9" s="61"/>
      <c r="CF9" s="61"/>
      <c r="CG9" s="61"/>
    </row>
    <row r="10" spans="1:85" ht="2.1" customHeight="1">
      <c r="A10" s="396"/>
      <c r="B10" s="396"/>
      <c r="C10" s="396"/>
      <c r="D10" s="396"/>
      <c r="E10" s="396"/>
      <c r="F10" s="396"/>
      <c r="G10" s="396"/>
      <c r="H10" s="396"/>
      <c r="I10" s="396"/>
      <c r="J10" s="396"/>
      <c r="K10" s="396"/>
      <c r="L10" s="396"/>
      <c r="M10" s="397"/>
      <c r="N10" s="397"/>
      <c r="O10" s="397"/>
      <c r="P10" s="397"/>
      <c r="Q10" s="397"/>
      <c r="R10" s="397"/>
      <c r="S10" s="397"/>
      <c r="T10" s="397"/>
      <c r="U10" s="397"/>
      <c r="V10" s="397"/>
      <c r="W10" s="393"/>
      <c r="X10" s="393"/>
      <c r="Y10" s="393"/>
      <c r="Z10" s="393"/>
      <c r="AA10" s="393"/>
      <c r="AB10" s="393"/>
      <c r="AC10" s="506"/>
      <c r="AD10" s="506"/>
      <c r="AE10" s="506"/>
      <c r="AF10" s="506"/>
      <c r="AG10" s="506"/>
      <c r="AH10" s="506"/>
      <c r="AI10" s="506"/>
      <c r="AJ10" s="506"/>
      <c r="AK10" s="506"/>
      <c r="AL10" s="506"/>
      <c r="AM10" s="506"/>
      <c r="AN10" s="506"/>
      <c r="AO10" s="265"/>
      <c r="AP10" s="435"/>
      <c r="AQ10" s="435"/>
      <c r="AT10" s="393"/>
      <c r="AU10" s="393"/>
      <c r="AV10" s="393"/>
      <c r="AW10" s="393"/>
      <c r="AX10" s="393"/>
      <c r="AY10" s="393"/>
      <c r="AZ10" s="393"/>
      <c r="BA10" s="393"/>
      <c r="BB10" s="518"/>
      <c r="BC10" s="518"/>
      <c r="BD10" s="435"/>
      <c r="BG10" s="393"/>
      <c r="BH10" s="393"/>
      <c r="BI10" s="393"/>
      <c r="BJ10" s="393"/>
      <c r="BK10" s="393"/>
      <c r="BL10" s="393"/>
      <c r="BM10" s="393"/>
      <c r="BN10" s="393"/>
      <c r="BO10" s="518"/>
      <c r="BP10" s="518"/>
      <c r="BQ10" s="435"/>
      <c r="BT10" s="393"/>
      <c r="BU10" s="393"/>
      <c r="BV10" s="393"/>
      <c r="BW10" s="393"/>
      <c r="BX10" s="393"/>
      <c r="BY10" s="393"/>
      <c r="BZ10" s="393"/>
      <c r="CA10" s="393"/>
      <c r="CB10" s="515"/>
      <c r="CC10" s="515"/>
      <c r="CD10" s="61"/>
      <c r="CE10" s="61"/>
      <c r="CF10" s="61"/>
      <c r="CG10" s="61"/>
    </row>
    <row r="11" spans="1:85" ht="15" customHeight="1">
      <c r="A11" s="398"/>
      <c r="B11" s="398"/>
      <c r="C11" s="398"/>
      <c r="D11" s="398"/>
      <c r="E11" s="398"/>
      <c r="F11" s="398"/>
      <c r="G11" s="398"/>
      <c r="H11" s="398"/>
      <c r="I11" s="398"/>
      <c r="J11" s="398"/>
      <c r="K11" s="398"/>
      <c r="L11" s="398"/>
      <c r="M11" s="389"/>
      <c r="N11" s="389"/>
      <c r="O11" s="389"/>
      <c r="P11" s="389"/>
      <c r="Q11" s="389"/>
      <c r="R11" s="389"/>
      <c r="S11" s="389"/>
      <c r="T11" s="389"/>
      <c r="U11" s="389"/>
      <c r="V11" s="389"/>
      <c r="W11" s="393"/>
      <c r="X11" s="393"/>
      <c r="Y11" s="393"/>
      <c r="Z11" s="393"/>
      <c r="AA11" s="393"/>
      <c r="AB11" s="393"/>
      <c r="AC11" s="506"/>
      <c r="AD11" s="506"/>
      <c r="AE11" s="506"/>
      <c r="AF11" s="506"/>
      <c r="AG11" s="506"/>
      <c r="AH11" s="506"/>
      <c r="AI11" s="506"/>
      <c r="AJ11" s="506"/>
      <c r="AK11" s="506"/>
      <c r="AL11" s="506"/>
      <c r="AM11" s="506"/>
      <c r="AN11" s="506"/>
      <c r="AO11" s="265"/>
      <c r="AP11" s="435"/>
      <c r="AQ11" s="435"/>
      <c r="AT11" s="393"/>
      <c r="AU11" s="393"/>
      <c r="AV11" s="393"/>
      <c r="AW11" s="393"/>
      <c r="AX11" s="393"/>
      <c r="AY11" s="393"/>
      <c r="AZ11" s="393"/>
      <c r="BA11" s="393"/>
      <c r="BB11" s="518"/>
      <c r="BC11" s="518"/>
      <c r="BD11" s="435"/>
      <c r="BG11" s="393"/>
      <c r="BH11" s="393"/>
      <c r="BI11" s="393"/>
      <c r="BJ11" s="393"/>
      <c r="BK11" s="393"/>
      <c r="BL11" s="393"/>
      <c r="BM11" s="393"/>
      <c r="BN11" s="393"/>
      <c r="BO11" s="518"/>
      <c r="BP11" s="518"/>
      <c r="BQ11" s="435"/>
      <c r="BT11" s="393"/>
      <c r="BU11" s="393"/>
      <c r="BV11" s="393"/>
      <c r="BW11" s="393"/>
      <c r="BX11" s="393"/>
      <c r="BY11" s="393"/>
      <c r="BZ11" s="393"/>
      <c r="CA11" s="393"/>
      <c r="CB11" s="515"/>
      <c r="CC11" s="515"/>
      <c r="CD11" s="61"/>
      <c r="CE11" s="61"/>
      <c r="CF11" s="61"/>
      <c r="CG11" s="61"/>
    </row>
    <row r="12" spans="1:85" ht="5.0999999999999996" customHeight="1">
      <c r="A12" s="398" t="s">
        <v>168</v>
      </c>
      <c r="B12" s="398"/>
      <c r="C12" s="398"/>
      <c r="D12" s="398"/>
      <c r="E12" s="398"/>
      <c r="F12" s="398"/>
      <c r="G12" s="398"/>
      <c r="H12" s="398"/>
      <c r="I12" s="398"/>
      <c r="J12" s="398"/>
      <c r="K12" s="398"/>
      <c r="L12" s="398"/>
      <c r="M12" s="443"/>
      <c r="N12" s="443"/>
      <c r="O12" s="443"/>
      <c r="P12" s="443"/>
      <c r="Q12" s="443"/>
      <c r="R12" s="443"/>
      <c r="S12" s="443"/>
      <c r="T12" s="443"/>
      <c r="U12" s="443"/>
      <c r="V12" s="443"/>
      <c r="W12" s="393"/>
      <c r="X12" s="393"/>
      <c r="Y12" s="393"/>
      <c r="Z12" s="393"/>
      <c r="AA12" s="393"/>
      <c r="AB12" s="393"/>
      <c r="AC12" s="506"/>
      <c r="AD12" s="506"/>
      <c r="AE12" s="506"/>
      <c r="AF12" s="506"/>
      <c r="AG12" s="506"/>
      <c r="AH12" s="506"/>
      <c r="AI12" s="506"/>
      <c r="AJ12" s="506"/>
      <c r="AK12" s="506"/>
      <c r="AL12" s="506"/>
      <c r="AM12" s="506"/>
      <c r="AN12" s="506"/>
      <c r="AO12" s="265"/>
      <c r="AP12" s="435"/>
      <c r="AQ12" s="435"/>
      <c r="AR12" s="392"/>
      <c r="AS12" s="392"/>
      <c r="AT12" s="393"/>
      <c r="AU12" s="393"/>
      <c r="AV12" s="393"/>
      <c r="AW12" s="393"/>
      <c r="AX12" s="393"/>
      <c r="AY12" s="393"/>
      <c r="AZ12" s="393"/>
      <c r="BA12" s="393"/>
      <c r="BB12" s="518"/>
      <c r="BC12" s="518"/>
      <c r="BD12" s="435"/>
      <c r="BE12" s="392"/>
      <c r="BF12" s="392"/>
      <c r="BG12" s="393"/>
      <c r="BH12" s="393"/>
      <c r="BI12" s="393"/>
      <c r="BJ12" s="393"/>
      <c r="BK12" s="393"/>
      <c r="BL12" s="393"/>
      <c r="BM12" s="393"/>
      <c r="BN12" s="393"/>
      <c r="BO12" s="518"/>
      <c r="BP12" s="518"/>
      <c r="BQ12" s="435"/>
      <c r="BR12" s="392"/>
      <c r="BS12" s="392"/>
      <c r="BT12" s="393"/>
      <c r="BU12" s="393"/>
      <c r="BV12" s="393"/>
      <c r="BW12" s="393"/>
      <c r="BX12" s="393"/>
      <c r="BY12" s="393"/>
      <c r="BZ12" s="393"/>
      <c r="CA12" s="393"/>
      <c r="CB12" s="515"/>
      <c r="CC12" s="515"/>
      <c r="CD12" s="61"/>
      <c r="CE12" s="61"/>
      <c r="CF12" s="61"/>
      <c r="CG12" s="61"/>
    </row>
    <row r="13" spans="1:85" ht="9.9" customHeight="1">
      <c r="A13" s="398"/>
      <c r="B13" s="398"/>
      <c r="C13" s="398"/>
      <c r="D13" s="398"/>
      <c r="E13" s="398"/>
      <c r="F13" s="398"/>
      <c r="G13" s="398"/>
      <c r="H13" s="398"/>
      <c r="I13" s="398"/>
      <c r="J13" s="398"/>
      <c r="K13" s="398"/>
      <c r="L13" s="398"/>
      <c r="M13" s="443"/>
      <c r="N13" s="443"/>
      <c r="O13" s="443"/>
      <c r="P13" s="443"/>
      <c r="Q13" s="443"/>
      <c r="R13" s="443"/>
      <c r="S13" s="443"/>
      <c r="T13" s="443"/>
      <c r="U13" s="443"/>
      <c r="V13" s="443"/>
      <c r="W13" s="393"/>
      <c r="X13" s="393"/>
      <c r="Y13" s="393"/>
      <c r="Z13" s="393"/>
      <c r="AA13" s="393"/>
      <c r="AB13" s="393"/>
      <c r="AC13" s="506"/>
      <c r="AD13" s="506"/>
      <c r="AE13" s="506"/>
      <c r="AF13" s="506"/>
      <c r="AG13" s="506"/>
      <c r="AH13" s="506"/>
      <c r="AI13" s="506"/>
      <c r="AJ13" s="506"/>
      <c r="AK13" s="506"/>
      <c r="AL13" s="506"/>
      <c r="AM13" s="506"/>
      <c r="AN13" s="506"/>
      <c r="AO13" s="265"/>
      <c r="AP13" s="435"/>
      <c r="AQ13" s="435"/>
      <c r="AR13" s="392"/>
      <c r="AS13" s="392"/>
      <c r="AT13" s="393"/>
      <c r="AU13" s="393"/>
      <c r="AV13" s="393"/>
      <c r="AW13" s="393"/>
      <c r="AX13" s="393"/>
      <c r="AY13" s="393"/>
      <c r="AZ13" s="393"/>
      <c r="BA13" s="393"/>
      <c r="BB13" s="519" t="str">
        <f>IF(BB21="ALTEZZA",$D$49,IF(BB21="LARGHEZZA",$M$49,""))</f>
        <v/>
      </c>
      <c r="BC13" s="440"/>
      <c r="BD13" s="435"/>
      <c r="BE13" s="392"/>
      <c r="BF13" s="392"/>
      <c r="BG13" s="393"/>
      <c r="BH13" s="393"/>
      <c r="BI13" s="393"/>
      <c r="BJ13" s="393"/>
      <c r="BK13" s="393"/>
      <c r="BL13" s="393"/>
      <c r="BM13" s="393"/>
      <c r="BN13" s="393"/>
      <c r="BO13" s="440" t="str">
        <f>IF(BO21="ALTEZZA",$D$53,IF(BO21="LARGHEZZA",$M$53,""))</f>
        <v/>
      </c>
      <c r="BP13" s="440"/>
      <c r="BQ13" s="435"/>
      <c r="BR13" s="392"/>
      <c r="BS13" s="392"/>
      <c r="BT13" s="393"/>
      <c r="BU13" s="393"/>
      <c r="BV13" s="393"/>
      <c r="BW13" s="393"/>
      <c r="BX13" s="393"/>
      <c r="BY13" s="393"/>
      <c r="BZ13" s="393"/>
      <c r="CA13" s="393"/>
      <c r="CB13" s="519" t="str">
        <f>IF(CB21="ALTEZZA",$D$57,IF(CB21="LARGHEZZA",$M$57,""))</f>
        <v/>
      </c>
      <c r="CC13" s="519"/>
      <c r="CD13" s="61"/>
      <c r="CE13" s="61"/>
      <c r="CF13" s="61"/>
      <c r="CG13" s="61"/>
    </row>
    <row r="14" spans="1:85" ht="9.9" customHeight="1">
      <c r="A14" s="175"/>
      <c r="B14" s="172"/>
      <c r="C14" s="175"/>
      <c r="D14" s="175"/>
      <c r="E14" s="175"/>
      <c r="F14" s="175"/>
      <c r="G14" s="187"/>
      <c r="H14" s="187"/>
      <c r="I14" s="175"/>
      <c r="J14" s="172"/>
      <c r="K14" s="175"/>
      <c r="L14" s="175"/>
      <c r="M14" s="157"/>
      <c r="N14" s="157"/>
      <c r="O14" s="188"/>
      <c r="P14" s="188"/>
      <c r="Q14" s="157"/>
      <c r="R14" s="63"/>
      <c r="S14" s="157"/>
      <c r="T14" s="157"/>
      <c r="U14" s="157"/>
      <c r="V14" s="157"/>
      <c r="W14" s="393"/>
      <c r="X14" s="393"/>
      <c r="Y14" s="393"/>
      <c r="Z14" s="393"/>
      <c r="AA14" s="393"/>
      <c r="AB14" s="393"/>
      <c r="AC14" s="506"/>
      <c r="AD14" s="506"/>
      <c r="AE14" s="506"/>
      <c r="AF14" s="506"/>
      <c r="AG14" s="506"/>
      <c r="AH14" s="506"/>
      <c r="AI14" s="506"/>
      <c r="AJ14" s="506"/>
      <c r="AK14" s="506"/>
      <c r="AL14" s="506"/>
      <c r="AM14" s="506"/>
      <c r="AN14" s="506"/>
      <c r="AO14" s="265"/>
      <c r="AP14" s="435"/>
      <c r="AQ14" s="435"/>
      <c r="AT14" s="393"/>
      <c r="AU14" s="393"/>
      <c r="AV14" s="393"/>
      <c r="AW14" s="393"/>
      <c r="AX14" s="393"/>
      <c r="AY14" s="393"/>
      <c r="AZ14" s="393"/>
      <c r="BA14" s="393"/>
      <c r="BB14" s="519"/>
      <c r="BC14" s="440"/>
      <c r="BD14" s="435"/>
      <c r="BG14" s="393"/>
      <c r="BH14" s="393"/>
      <c r="BI14" s="393"/>
      <c r="BJ14" s="393"/>
      <c r="BK14" s="393"/>
      <c r="BL14" s="393"/>
      <c r="BM14" s="393"/>
      <c r="BN14" s="393"/>
      <c r="BO14" s="440"/>
      <c r="BP14" s="440"/>
      <c r="BQ14" s="435"/>
      <c r="BT14" s="393"/>
      <c r="BU14" s="393"/>
      <c r="BV14" s="393"/>
      <c r="BW14" s="393"/>
      <c r="BX14" s="393"/>
      <c r="BY14" s="393"/>
      <c r="BZ14" s="393"/>
      <c r="CA14" s="393"/>
      <c r="CB14" s="519"/>
      <c r="CC14" s="519"/>
      <c r="CD14" s="61"/>
      <c r="CE14" s="61"/>
      <c r="CF14" s="61"/>
      <c r="CG14" s="61"/>
    </row>
    <row r="15" spans="1:85" ht="6.9" customHeight="1">
      <c r="A15" s="399" t="s">
        <v>94</v>
      </c>
      <c r="B15" s="399"/>
      <c r="C15" s="399"/>
      <c r="D15" s="399"/>
      <c r="E15" s="399"/>
      <c r="F15" s="399"/>
      <c r="G15" s="399"/>
      <c r="H15" s="399"/>
      <c r="I15" s="399"/>
      <c r="J15" s="399"/>
      <c r="K15" s="399"/>
      <c r="L15" s="399"/>
      <c r="M15" s="509"/>
      <c r="N15" s="509"/>
      <c r="O15" s="509"/>
      <c r="P15" s="509"/>
      <c r="Q15" s="509"/>
      <c r="R15" s="509"/>
      <c r="S15" s="509"/>
      <c r="T15" s="509"/>
      <c r="U15" s="509"/>
      <c r="V15" s="509"/>
      <c r="W15" s="393"/>
      <c r="X15" s="393"/>
      <c r="Y15" s="393"/>
      <c r="Z15" s="393"/>
      <c r="AA15" s="393"/>
      <c r="AB15" s="393"/>
      <c r="AC15" s="506"/>
      <c r="AD15" s="506"/>
      <c r="AE15" s="506"/>
      <c r="AF15" s="506"/>
      <c r="AG15" s="506"/>
      <c r="AH15" s="506"/>
      <c r="AI15" s="506"/>
      <c r="AJ15" s="506"/>
      <c r="AK15" s="506"/>
      <c r="AL15" s="506"/>
      <c r="AM15" s="506"/>
      <c r="AN15" s="506"/>
      <c r="AO15" s="265"/>
      <c r="AP15" s="435"/>
      <c r="AQ15" s="435"/>
      <c r="AR15" s="392"/>
      <c r="AS15" s="392"/>
      <c r="AT15" s="393"/>
      <c r="AU15" s="393"/>
      <c r="AV15" s="393"/>
      <c r="AW15" s="393"/>
      <c r="AX15" s="393"/>
      <c r="AY15" s="393"/>
      <c r="AZ15" s="393"/>
      <c r="BA15" s="393"/>
      <c r="BB15" s="519"/>
      <c r="BC15" s="440"/>
      <c r="BD15" s="435"/>
      <c r="BE15" s="392"/>
      <c r="BF15" s="392"/>
      <c r="BG15" s="393"/>
      <c r="BH15" s="393"/>
      <c r="BI15" s="393"/>
      <c r="BJ15" s="393"/>
      <c r="BK15" s="393"/>
      <c r="BL15" s="393"/>
      <c r="BM15" s="393"/>
      <c r="BN15" s="393"/>
      <c r="BO15" s="440"/>
      <c r="BP15" s="440"/>
      <c r="BQ15" s="435"/>
      <c r="BR15" s="392"/>
      <c r="BS15" s="392"/>
      <c r="BT15" s="393"/>
      <c r="BU15" s="393"/>
      <c r="BV15" s="393"/>
      <c r="BW15" s="393"/>
      <c r="BX15" s="393"/>
      <c r="BY15" s="393"/>
      <c r="BZ15" s="393"/>
      <c r="CA15" s="393"/>
      <c r="CB15" s="519"/>
      <c r="CC15" s="519"/>
      <c r="CD15" s="61"/>
      <c r="CE15" s="61"/>
      <c r="CF15" s="61"/>
      <c r="CG15" s="61"/>
    </row>
    <row r="16" spans="1:85" ht="6.9" customHeight="1">
      <c r="A16" s="399"/>
      <c r="B16" s="399"/>
      <c r="C16" s="399"/>
      <c r="D16" s="399"/>
      <c r="E16" s="399"/>
      <c r="F16" s="399"/>
      <c r="G16" s="399"/>
      <c r="H16" s="399"/>
      <c r="I16" s="399"/>
      <c r="J16" s="399"/>
      <c r="K16" s="399"/>
      <c r="L16" s="399"/>
      <c r="M16" s="509"/>
      <c r="N16" s="509"/>
      <c r="O16" s="509"/>
      <c r="P16" s="509"/>
      <c r="Q16" s="509"/>
      <c r="R16" s="509"/>
      <c r="S16" s="509"/>
      <c r="T16" s="509"/>
      <c r="U16" s="509"/>
      <c r="V16" s="509"/>
      <c r="W16" s="393"/>
      <c r="X16" s="393"/>
      <c r="Y16" s="393"/>
      <c r="Z16" s="393"/>
      <c r="AA16" s="393"/>
      <c r="AB16" s="393"/>
      <c r="AC16" s="506"/>
      <c r="AD16" s="506"/>
      <c r="AE16" s="506"/>
      <c r="AF16" s="506"/>
      <c r="AG16" s="506"/>
      <c r="AH16" s="506"/>
      <c r="AI16" s="506"/>
      <c r="AJ16" s="506"/>
      <c r="AK16" s="506"/>
      <c r="AL16" s="506"/>
      <c r="AM16" s="506"/>
      <c r="AN16" s="506"/>
      <c r="AO16" s="265"/>
      <c r="AP16" s="435"/>
      <c r="AQ16" s="435"/>
      <c r="AR16" s="392"/>
      <c r="AS16" s="392"/>
      <c r="AT16" s="393"/>
      <c r="AU16" s="393"/>
      <c r="AV16" s="393"/>
      <c r="AW16" s="393"/>
      <c r="AX16" s="393"/>
      <c r="AY16" s="393"/>
      <c r="AZ16" s="393"/>
      <c r="BA16" s="393"/>
      <c r="BB16" s="519"/>
      <c r="BC16" s="440"/>
      <c r="BD16" s="435"/>
      <c r="BE16" s="392"/>
      <c r="BF16" s="392"/>
      <c r="BG16" s="393"/>
      <c r="BH16" s="393"/>
      <c r="BI16" s="393"/>
      <c r="BJ16" s="393"/>
      <c r="BK16" s="393"/>
      <c r="BL16" s="393"/>
      <c r="BM16" s="393"/>
      <c r="BN16" s="393"/>
      <c r="BO16" s="440"/>
      <c r="BP16" s="440"/>
      <c r="BQ16" s="435"/>
      <c r="BR16" s="392"/>
      <c r="BS16" s="392"/>
      <c r="BT16" s="393"/>
      <c r="BU16" s="393"/>
      <c r="BV16" s="393"/>
      <c r="BW16" s="393"/>
      <c r="BX16" s="393"/>
      <c r="BY16" s="393"/>
      <c r="BZ16" s="393"/>
      <c r="CA16" s="393"/>
      <c r="CB16" s="519"/>
      <c r="CC16" s="519"/>
      <c r="CD16" s="61"/>
      <c r="CE16" s="61"/>
      <c r="CF16" s="61"/>
      <c r="CG16" s="61"/>
    </row>
    <row r="17" spans="1:85" ht="9.9" customHeight="1">
      <c r="A17" s="175"/>
      <c r="B17" s="172"/>
      <c r="C17" s="175"/>
      <c r="D17" s="175"/>
      <c r="E17" s="175"/>
      <c r="F17" s="175"/>
      <c r="G17" s="187"/>
      <c r="H17" s="187"/>
      <c r="I17" s="175"/>
      <c r="J17" s="172"/>
      <c r="K17" s="175"/>
      <c r="L17" s="175"/>
      <c r="M17" s="157"/>
      <c r="N17" s="157"/>
      <c r="O17" s="188"/>
      <c r="P17" s="188"/>
      <c r="Q17" s="157"/>
      <c r="R17" s="157"/>
      <c r="S17" s="157"/>
      <c r="T17" s="157"/>
      <c r="U17" s="157"/>
      <c r="V17" s="157"/>
      <c r="W17" s="393"/>
      <c r="X17" s="393"/>
      <c r="Y17" s="393"/>
      <c r="Z17" s="393"/>
      <c r="AA17" s="393"/>
      <c r="AB17" s="393"/>
      <c r="AC17" s="506"/>
      <c r="AD17" s="506"/>
      <c r="AE17" s="506"/>
      <c r="AF17" s="506"/>
      <c r="AG17" s="506"/>
      <c r="AH17" s="506"/>
      <c r="AI17" s="506"/>
      <c r="AJ17" s="506"/>
      <c r="AK17" s="506"/>
      <c r="AL17" s="506"/>
      <c r="AM17" s="506"/>
      <c r="AN17" s="506"/>
      <c r="AO17" s="265"/>
      <c r="AP17" s="435"/>
      <c r="AQ17" s="435"/>
      <c r="AT17" s="393"/>
      <c r="AU17" s="393"/>
      <c r="AV17" s="393"/>
      <c r="AW17" s="393"/>
      <c r="AX17" s="393"/>
      <c r="AY17" s="393"/>
      <c r="AZ17" s="393"/>
      <c r="BA17" s="393"/>
      <c r="BB17" s="519"/>
      <c r="BC17" s="440"/>
      <c r="BD17" s="435"/>
      <c r="BG17" s="393"/>
      <c r="BH17" s="393"/>
      <c r="BI17" s="393"/>
      <c r="BJ17" s="393"/>
      <c r="BK17" s="393"/>
      <c r="BL17" s="393"/>
      <c r="BM17" s="393"/>
      <c r="BN17" s="393"/>
      <c r="BO17" s="440"/>
      <c r="BP17" s="440"/>
      <c r="BQ17" s="435"/>
      <c r="BT17" s="393"/>
      <c r="BU17" s="393"/>
      <c r="BV17" s="393"/>
      <c r="BW17" s="393"/>
      <c r="BX17" s="393"/>
      <c r="BY17" s="393"/>
      <c r="BZ17" s="393"/>
      <c r="CA17" s="393"/>
      <c r="CB17" s="519"/>
      <c r="CC17" s="519"/>
      <c r="CD17" s="61"/>
      <c r="CE17" s="61"/>
      <c r="CF17" s="61"/>
      <c r="CG17" s="61"/>
    </row>
    <row r="18" spans="1:85" ht="5.0999999999999996" customHeight="1">
      <c r="A18" s="395" t="s">
        <v>170</v>
      </c>
      <c r="B18" s="395"/>
      <c r="C18" s="395"/>
      <c r="D18" s="395"/>
      <c r="E18" s="395"/>
      <c r="F18" s="395"/>
      <c r="G18" s="395"/>
      <c r="H18" s="395"/>
      <c r="I18" s="395"/>
      <c r="J18" s="395"/>
      <c r="K18" s="395"/>
      <c r="L18" s="395"/>
      <c r="M18" s="460"/>
      <c r="N18" s="460"/>
      <c r="O18" s="460"/>
      <c r="P18" s="460"/>
      <c r="Q18" s="460"/>
      <c r="R18" s="460"/>
      <c r="S18" s="460"/>
      <c r="T18" s="460"/>
      <c r="U18" s="460"/>
      <c r="V18" s="460"/>
      <c r="W18" s="393"/>
      <c r="X18" s="393"/>
      <c r="Y18" s="393"/>
      <c r="Z18" s="393"/>
      <c r="AA18" s="393"/>
      <c r="AB18" s="393"/>
      <c r="AC18" s="506"/>
      <c r="AD18" s="506"/>
      <c r="AE18" s="506"/>
      <c r="AF18" s="506"/>
      <c r="AG18" s="506"/>
      <c r="AH18" s="506"/>
      <c r="AI18" s="506"/>
      <c r="AJ18" s="506"/>
      <c r="AK18" s="506"/>
      <c r="AL18" s="506"/>
      <c r="AM18" s="506"/>
      <c r="AN18" s="506"/>
      <c r="AO18" s="265"/>
      <c r="AP18" s="435"/>
      <c r="AQ18" s="435"/>
      <c r="AT18" s="393"/>
      <c r="AU18" s="393"/>
      <c r="AV18" s="393"/>
      <c r="AW18" s="393"/>
      <c r="AX18" s="393"/>
      <c r="AY18" s="393"/>
      <c r="AZ18" s="436"/>
      <c r="BA18" s="393"/>
      <c r="BB18" s="519"/>
      <c r="BC18" s="440"/>
      <c r="BD18" s="435"/>
      <c r="BG18" s="393"/>
      <c r="BH18" s="393"/>
      <c r="BI18" s="393"/>
      <c r="BJ18" s="393"/>
      <c r="BK18" s="393"/>
      <c r="BL18" s="393"/>
      <c r="BM18" s="436"/>
      <c r="BN18" s="393"/>
      <c r="BO18" s="440"/>
      <c r="BP18" s="440"/>
      <c r="BQ18" s="435"/>
      <c r="BT18" s="393"/>
      <c r="BU18" s="393"/>
      <c r="BV18" s="393"/>
      <c r="BW18" s="393"/>
      <c r="BX18" s="393"/>
      <c r="BY18" s="393"/>
      <c r="BZ18" s="436"/>
      <c r="CA18" s="393"/>
      <c r="CB18" s="519"/>
      <c r="CC18" s="519"/>
      <c r="CD18" s="61"/>
      <c r="CE18" s="61"/>
      <c r="CF18" s="61"/>
      <c r="CG18" s="61"/>
    </row>
    <row r="19" spans="1:85" ht="9.9" customHeight="1">
      <c r="A19" s="395"/>
      <c r="B19" s="395"/>
      <c r="C19" s="395"/>
      <c r="D19" s="395"/>
      <c r="E19" s="395"/>
      <c r="F19" s="395"/>
      <c r="G19" s="395"/>
      <c r="H19" s="395"/>
      <c r="I19" s="395"/>
      <c r="J19" s="395"/>
      <c r="K19" s="395"/>
      <c r="L19" s="395"/>
      <c r="M19" s="460"/>
      <c r="N19" s="460"/>
      <c r="O19" s="460"/>
      <c r="P19" s="460"/>
      <c r="Q19" s="460"/>
      <c r="R19" s="460"/>
      <c r="S19" s="460"/>
      <c r="T19" s="460"/>
      <c r="U19" s="460"/>
      <c r="V19" s="460"/>
      <c r="W19" s="393"/>
      <c r="X19" s="393"/>
      <c r="Y19" s="393"/>
      <c r="Z19" s="393"/>
      <c r="AA19" s="393"/>
      <c r="AB19" s="393"/>
      <c r="AC19" s="506"/>
      <c r="AD19" s="506"/>
      <c r="AE19" s="506"/>
      <c r="AF19" s="506"/>
      <c r="AG19" s="506"/>
      <c r="AH19" s="506"/>
      <c r="AI19" s="506"/>
      <c r="AJ19" s="506"/>
      <c r="AK19" s="506"/>
      <c r="AL19" s="506"/>
      <c r="AM19" s="506"/>
      <c r="AN19" s="506"/>
      <c r="AO19" s="265"/>
      <c r="AP19" s="435"/>
      <c r="AQ19" s="435"/>
      <c r="AR19" s="392"/>
      <c r="AS19" s="392"/>
      <c r="AT19" s="393"/>
      <c r="AU19" s="393"/>
      <c r="AV19" s="393"/>
      <c r="AW19" s="393"/>
      <c r="AX19" s="393"/>
      <c r="AY19" s="393"/>
      <c r="AZ19" s="436"/>
      <c r="BA19" s="393"/>
      <c r="BB19" s="519"/>
      <c r="BC19" s="440"/>
      <c r="BD19" s="435"/>
      <c r="BE19" s="392"/>
      <c r="BF19" s="392"/>
      <c r="BG19" s="393"/>
      <c r="BH19" s="393"/>
      <c r="BI19" s="393"/>
      <c r="BJ19" s="393"/>
      <c r="BK19" s="393"/>
      <c r="BL19" s="393"/>
      <c r="BM19" s="437"/>
      <c r="BN19" s="393"/>
      <c r="BO19" s="440"/>
      <c r="BP19" s="440"/>
      <c r="BQ19" s="435"/>
      <c r="BR19" s="392"/>
      <c r="BS19" s="392"/>
      <c r="BT19" s="393"/>
      <c r="BU19" s="393"/>
      <c r="BV19" s="393"/>
      <c r="BW19" s="393"/>
      <c r="BX19" s="393"/>
      <c r="BY19" s="393"/>
      <c r="BZ19" s="437"/>
      <c r="CA19" s="393"/>
      <c r="CB19" s="519"/>
      <c r="CC19" s="519"/>
      <c r="CD19" s="61"/>
      <c r="CE19" s="61"/>
      <c r="CF19" s="61"/>
      <c r="CG19" s="61"/>
    </row>
    <row r="20" spans="1:85" ht="3.9" customHeight="1">
      <c r="A20" s="395"/>
      <c r="B20" s="395"/>
      <c r="C20" s="395"/>
      <c r="D20" s="395"/>
      <c r="E20" s="395"/>
      <c r="F20" s="395"/>
      <c r="G20" s="395"/>
      <c r="H20" s="395"/>
      <c r="I20" s="395"/>
      <c r="J20" s="395"/>
      <c r="K20" s="395"/>
      <c r="L20" s="395"/>
      <c r="M20" s="460"/>
      <c r="N20" s="460"/>
      <c r="O20" s="460"/>
      <c r="P20" s="460"/>
      <c r="Q20" s="460"/>
      <c r="R20" s="460"/>
      <c r="S20" s="460"/>
      <c r="T20" s="460"/>
      <c r="U20" s="460"/>
      <c r="V20" s="460"/>
      <c r="W20" s="393"/>
      <c r="X20" s="393"/>
      <c r="Y20" s="393"/>
      <c r="Z20" s="393"/>
      <c r="AA20" s="393"/>
      <c r="AB20" s="393"/>
      <c r="AC20" s="506"/>
      <c r="AD20" s="506"/>
      <c r="AE20" s="506"/>
      <c r="AF20" s="506"/>
      <c r="AG20" s="506"/>
      <c r="AH20" s="506"/>
      <c r="AI20" s="506"/>
      <c r="AJ20" s="506"/>
      <c r="AK20" s="506"/>
      <c r="AL20" s="506"/>
      <c r="AM20" s="506"/>
      <c r="AN20" s="506"/>
      <c r="AO20" s="265"/>
      <c r="AP20" s="435"/>
      <c r="AQ20" s="435"/>
      <c r="AR20" s="392"/>
      <c r="AS20" s="392"/>
      <c r="AT20" s="393"/>
      <c r="AU20" s="393"/>
      <c r="AV20" s="393"/>
      <c r="AW20" s="393"/>
      <c r="AX20" s="393"/>
      <c r="AY20" s="393"/>
      <c r="AZ20" s="436"/>
      <c r="BA20" s="393"/>
      <c r="BB20" s="519"/>
      <c r="BC20" s="440"/>
      <c r="BD20" s="435"/>
      <c r="BE20" s="392"/>
      <c r="BF20" s="392"/>
      <c r="BG20" s="393"/>
      <c r="BH20" s="393"/>
      <c r="BI20" s="393"/>
      <c r="BJ20" s="393"/>
      <c r="BK20" s="393"/>
      <c r="BL20" s="393"/>
      <c r="BM20" s="437"/>
      <c r="BN20" s="393"/>
      <c r="BO20" s="440"/>
      <c r="BP20" s="440"/>
      <c r="BQ20" s="435"/>
      <c r="BR20" s="392"/>
      <c r="BS20" s="392"/>
      <c r="BT20" s="393"/>
      <c r="BU20" s="393"/>
      <c r="BV20" s="393"/>
      <c r="BW20" s="393"/>
      <c r="BX20" s="393"/>
      <c r="BY20" s="393"/>
      <c r="BZ20" s="437"/>
      <c r="CA20" s="393"/>
      <c r="CB20" s="519"/>
      <c r="CC20" s="519"/>
      <c r="CD20" s="61"/>
      <c r="CE20" s="61"/>
      <c r="CF20" s="61"/>
      <c r="CG20" s="61"/>
    </row>
    <row r="21" spans="1:85" ht="3.9" customHeight="1">
      <c r="A21" s="175"/>
      <c r="B21" s="172"/>
      <c r="C21" s="175"/>
      <c r="D21" s="175"/>
      <c r="E21" s="175"/>
      <c r="F21" s="175"/>
      <c r="G21" s="187"/>
      <c r="H21" s="187"/>
      <c r="I21" s="175"/>
      <c r="J21" s="172"/>
      <c r="K21" s="175"/>
      <c r="L21" s="175"/>
      <c r="M21" s="157"/>
      <c r="N21" s="157"/>
      <c r="O21" s="188"/>
      <c r="P21" s="188"/>
      <c r="Q21" s="157"/>
      <c r="R21" s="157"/>
      <c r="S21" s="157"/>
      <c r="T21" s="157"/>
      <c r="U21" s="157"/>
      <c r="V21" s="157"/>
      <c r="W21" s="393"/>
      <c r="X21" s="393"/>
      <c r="Y21" s="393"/>
      <c r="Z21" s="393"/>
      <c r="AA21" s="393"/>
      <c r="AB21" s="393"/>
      <c r="AC21" s="506"/>
      <c r="AD21" s="506"/>
      <c r="AE21" s="506"/>
      <c r="AF21" s="506"/>
      <c r="AG21" s="506"/>
      <c r="AH21" s="506"/>
      <c r="AI21" s="506"/>
      <c r="AJ21" s="506"/>
      <c r="AK21" s="506"/>
      <c r="AL21" s="506"/>
      <c r="AM21" s="506"/>
      <c r="AN21" s="506"/>
      <c r="AO21" s="265"/>
      <c r="AP21" s="435"/>
      <c r="AQ21" s="435"/>
      <c r="AT21" s="393"/>
      <c r="AU21" s="393"/>
      <c r="AV21" s="393"/>
      <c r="AW21" s="393"/>
      <c r="AX21" s="393"/>
      <c r="AY21" s="393"/>
      <c r="AZ21" s="436"/>
      <c r="BA21" s="393"/>
      <c r="BB21" s="513" t="str">
        <f>IF($B$49="","",IF($R$49&lt;&gt;"","LARGHEZZA","ALTEZZA"))</f>
        <v/>
      </c>
      <c r="BC21" s="439"/>
      <c r="BD21" s="435"/>
      <c r="BG21" s="393"/>
      <c r="BH21" s="393"/>
      <c r="BI21" s="393"/>
      <c r="BJ21" s="393"/>
      <c r="BK21" s="393"/>
      <c r="BL21" s="393"/>
      <c r="BM21" s="437"/>
      <c r="BN21" s="393"/>
      <c r="BO21" s="439" t="str">
        <f>IF($B$53="","",IF($R$53&lt;&gt;"","LARGHEZZA","ALTEZZA"))</f>
        <v/>
      </c>
      <c r="BP21" s="439"/>
      <c r="BQ21" s="435"/>
      <c r="BT21" s="393"/>
      <c r="BU21" s="393"/>
      <c r="BV21" s="393"/>
      <c r="BW21" s="393"/>
      <c r="BX21" s="393"/>
      <c r="BY21" s="393"/>
      <c r="BZ21" s="437"/>
      <c r="CA21" s="393"/>
      <c r="CB21" s="513" t="str">
        <f>IF($B$57="","",IF($R$57&lt;&gt;"","LARGHEZZA","ALTEZZA"))</f>
        <v/>
      </c>
      <c r="CC21" s="513"/>
      <c r="CD21" s="61"/>
      <c r="CE21" s="61"/>
      <c r="CF21" s="61"/>
      <c r="CG21" s="61"/>
    </row>
    <row r="22" spans="1:85" ht="5.0999999999999996" customHeight="1">
      <c r="A22" s="175"/>
      <c r="B22" s="172"/>
      <c r="C22" s="175"/>
      <c r="D22" s="175"/>
      <c r="E22" s="175"/>
      <c r="F22" s="175"/>
      <c r="G22" s="187"/>
      <c r="H22" s="187"/>
      <c r="I22" s="175"/>
      <c r="J22" s="172"/>
      <c r="K22" s="175"/>
      <c r="L22" s="175"/>
      <c r="M22" s="157"/>
      <c r="N22" s="157"/>
      <c r="O22" s="188"/>
      <c r="P22" s="188"/>
      <c r="Q22" s="157"/>
      <c r="R22" s="157"/>
      <c r="S22" s="157"/>
      <c r="T22" s="157"/>
      <c r="U22" s="157"/>
      <c r="V22" s="157"/>
      <c r="W22" s="393"/>
      <c r="X22" s="393"/>
      <c r="Y22" s="393"/>
      <c r="Z22" s="393"/>
      <c r="AA22" s="393"/>
      <c r="AB22" s="393"/>
      <c r="AC22" s="506"/>
      <c r="AD22" s="506"/>
      <c r="AE22" s="506"/>
      <c r="AF22" s="506"/>
      <c r="AG22" s="506"/>
      <c r="AH22" s="506"/>
      <c r="AI22" s="506"/>
      <c r="AJ22" s="506"/>
      <c r="AK22" s="506"/>
      <c r="AL22" s="506"/>
      <c r="AM22" s="506"/>
      <c r="AN22" s="506"/>
      <c r="AO22" s="265"/>
      <c r="AP22" s="435"/>
      <c r="AQ22" s="435"/>
      <c r="AT22" s="393"/>
      <c r="AU22" s="393"/>
      <c r="AV22" s="393"/>
      <c r="AW22" s="393"/>
      <c r="AX22" s="393"/>
      <c r="AY22" s="393"/>
      <c r="AZ22" s="436"/>
      <c r="BA22" s="393"/>
      <c r="BB22" s="513"/>
      <c r="BC22" s="439"/>
      <c r="BD22" s="435"/>
      <c r="BG22" s="393"/>
      <c r="BH22" s="393"/>
      <c r="BI22" s="393"/>
      <c r="BJ22" s="393"/>
      <c r="BK22" s="393"/>
      <c r="BL22" s="393"/>
      <c r="BM22" s="437"/>
      <c r="BN22" s="393"/>
      <c r="BO22" s="439"/>
      <c r="BP22" s="439"/>
      <c r="BQ22" s="435"/>
      <c r="BT22" s="393"/>
      <c r="BU22" s="393"/>
      <c r="BV22" s="393"/>
      <c r="BW22" s="393"/>
      <c r="BX22" s="393"/>
      <c r="BY22" s="393"/>
      <c r="BZ22" s="437"/>
      <c r="CA22" s="393"/>
      <c r="CB22" s="513"/>
      <c r="CC22" s="513"/>
      <c r="CD22" s="61"/>
      <c r="CE22" s="61"/>
      <c r="CF22" s="61"/>
      <c r="CG22" s="61"/>
    </row>
    <row r="23" spans="1:85" ht="9.9" customHeight="1">
      <c r="A23" s="398" t="s">
        <v>171</v>
      </c>
      <c r="B23" s="398"/>
      <c r="C23" s="398"/>
      <c r="D23" s="398"/>
      <c r="E23" s="398"/>
      <c r="F23" s="398"/>
      <c r="G23" s="398"/>
      <c r="H23" s="398"/>
      <c r="I23" s="398"/>
      <c r="J23" s="398"/>
      <c r="K23" s="398"/>
      <c r="L23" s="398"/>
      <c r="M23" s="443"/>
      <c r="N23" s="443"/>
      <c r="O23" s="443"/>
      <c r="P23" s="443"/>
      <c r="Q23" s="443"/>
      <c r="R23" s="443"/>
      <c r="S23" s="443"/>
      <c r="T23" s="443"/>
      <c r="U23" s="443"/>
      <c r="V23" s="443"/>
      <c r="W23" s="393"/>
      <c r="X23" s="393"/>
      <c r="Y23" s="393"/>
      <c r="Z23" s="393"/>
      <c r="AA23" s="393"/>
      <c r="AB23" s="393"/>
      <c r="AC23" s="506"/>
      <c r="AD23" s="506"/>
      <c r="AE23" s="506"/>
      <c r="AF23" s="506"/>
      <c r="AG23" s="506"/>
      <c r="AH23" s="506"/>
      <c r="AI23" s="506"/>
      <c r="AJ23" s="506"/>
      <c r="AK23" s="506"/>
      <c r="AL23" s="506"/>
      <c r="AM23" s="506"/>
      <c r="AN23" s="506"/>
      <c r="AO23" s="265"/>
      <c r="AP23" s="435"/>
      <c r="AQ23" s="435"/>
      <c r="AR23" s="392"/>
      <c r="AS23" s="392"/>
      <c r="AT23" s="393"/>
      <c r="AU23" s="393"/>
      <c r="AV23" s="393"/>
      <c r="AW23" s="393"/>
      <c r="AX23" s="393"/>
      <c r="AY23" s="393"/>
      <c r="AZ23" s="436"/>
      <c r="BA23" s="393"/>
      <c r="BB23" s="513"/>
      <c r="BC23" s="439"/>
      <c r="BD23" s="435"/>
      <c r="BE23" s="392"/>
      <c r="BF23" s="392"/>
      <c r="BG23" s="393"/>
      <c r="BH23" s="393"/>
      <c r="BI23" s="393"/>
      <c r="BJ23" s="393"/>
      <c r="BK23" s="393"/>
      <c r="BL23" s="393"/>
      <c r="BM23" s="436"/>
      <c r="BN23" s="393"/>
      <c r="BO23" s="439"/>
      <c r="BP23" s="439"/>
      <c r="BQ23" s="435"/>
      <c r="BR23" s="392"/>
      <c r="BS23" s="392"/>
      <c r="BT23" s="393"/>
      <c r="BU23" s="393"/>
      <c r="BV23" s="393"/>
      <c r="BW23" s="393"/>
      <c r="BX23" s="393"/>
      <c r="BY23" s="393"/>
      <c r="BZ23" s="436"/>
      <c r="CA23" s="393"/>
      <c r="CB23" s="513"/>
      <c r="CC23" s="513"/>
      <c r="CD23" s="61"/>
      <c r="CE23" s="61"/>
      <c r="CF23" s="61"/>
      <c r="CG23" s="61"/>
    </row>
    <row r="24" spans="1:85" ht="5.0999999999999996" customHeight="1">
      <c r="A24" s="398"/>
      <c r="B24" s="398"/>
      <c r="C24" s="398"/>
      <c r="D24" s="398"/>
      <c r="E24" s="398"/>
      <c r="F24" s="398"/>
      <c r="G24" s="398"/>
      <c r="H24" s="398"/>
      <c r="I24" s="398"/>
      <c r="J24" s="398"/>
      <c r="K24" s="398"/>
      <c r="L24" s="398"/>
      <c r="M24" s="443"/>
      <c r="N24" s="443"/>
      <c r="O24" s="443"/>
      <c r="P24" s="443"/>
      <c r="Q24" s="443"/>
      <c r="R24" s="443"/>
      <c r="S24" s="443"/>
      <c r="T24" s="443"/>
      <c r="U24" s="443"/>
      <c r="V24" s="443"/>
      <c r="W24" s="393"/>
      <c r="X24" s="393"/>
      <c r="Y24" s="393"/>
      <c r="Z24" s="393"/>
      <c r="AA24" s="393"/>
      <c r="AB24" s="393"/>
      <c r="AC24" s="506"/>
      <c r="AD24" s="506"/>
      <c r="AE24" s="506"/>
      <c r="AF24" s="506"/>
      <c r="AG24" s="506"/>
      <c r="AH24" s="506"/>
      <c r="AI24" s="506"/>
      <c r="AJ24" s="506"/>
      <c r="AK24" s="506"/>
      <c r="AL24" s="506"/>
      <c r="AM24" s="506"/>
      <c r="AN24" s="506"/>
      <c r="AO24" s="265"/>
      <c r="AP24" s="435"/>
      <c r="AQ24" s="435"/>
      <c r="AR24" s="392"/>
      <c r="AS24" s="392"/>
      <c r="AT24" s="393"/>
      <c r="AU24" s="393"/>
      <c r="AV24" s="393"/>
      <c r="AW24" s="393"/>
      <c r="AX24" s="393"/>
      <c r="AY24" s="393"/>
      <c r="AZ24" s="437"/>
      <c r="BA24" s="393"/>
      <c r="BB24" s="513"/>
      <c r="BC24" s="439"/>
      <c r="BD24" s="435"/>
      <c r="BE24" s="392"/>
      <c r="BF24" s="392"/>
      <c r="BG24" s="393"/>
      <c r="BH24" s="393"/>
      <c r="BI24" s="393"/>
      <c r="BJ24" s="393"/>
      <c r="BK24" s="393"/>
      <c r="BL24" s="393"/>
      <c r="BM24" s="437"/>
      <c r="BN24" s="393"/>
      <c r="BO24" s="439"/>
      <c r="BP24" s="439"/>
      <c r="BQ24" s="435"/>
      <c r="BR24" s="392"/>
      <c r="BS24" s="392"/>
      <c r="BT24" s="393"/>
      <c r="BU24" s="393"/>
      <c r="BV24" s="393"/>
      <c r="BW24" s="393"/>
      <c r="BX24" s="393"/>
      <c r="BY24" s="393"/>
      <c r="BZ24" s="437"/>
      <c r="CA24" s="393"/>
      <c r="CB24" s="513"/>
      <c r="CC24" s="513"/>
      <c r="CD24" s="61"/>
      <c r="CE24" s="61"/>
      <c r="CF24" s="61"/>
      <c r="CG24" s="61"/>
    </row>
    <row r="25" spans="1:85" ht="12" customHeight="1">
      <c r="A25" s="175"/>
      <c r="B25" s="172"/>
      <c r="C25" s="175"/>
      <c r="D25" s="175"/>
      <c r="E25" s="175"/>
      <c r="F25" s="175"/>
      <c r="G25" s="187"/>
      <c r="H25" s="187"/>
      <c r="I25" s="175"/>
      <c r="J25" s="172"/>
      <c r="K25" s="175"/>
      <c r="L25" s="175"/>
      <c r="M25" s="157"/>
      <c r="N25" s="157"/>
      <c r="O25" s="188"/>
      <c r="P25" s="188"/>
      <c r="Q25" s="157"/>
      <c r="R25" s="157"/>
      <c r="S25" s="157"/>
      <c r="T25" s="157"/>
      <c r="U25" s="157"/>
      <c r="V25" s="157"/>
      <c r="W25" s="393"/>
      <c r="X25" s="393"/>
      <c r="Y25" s="393"/>
      <c r="Z25" s="393"/>
      <c r="AA25" s="393"/>
      <c r="AB25" s="393"/>
      <c r="AC25" s="506"/>
      <c r="AD25" s="506"/>
      <c r="AE25" s="506"/>
      <c r="AF25" s="506"/>
      <c r="AG25" s="506"/>
      <c r="AH25" s="506"/>
      <c r="AI25" s="506"/>
      <c r="AJ25" s="506"/>
      <c r="AK25" s="506"/>
      <c r="AL25" s="506"/>
      <c r="AM25" s="506"/>
      <c r="AN25" s="506"/>
      <c r="AO25" s="265"/>
      <c r="AP25" s="435"/>
      <c r="AQ25" s="435"/>
      <c r="AT25" s="393"/>
      <c r="AU25" s="393"/>
      <c r="AV25" s="393"/>
      <c r="AW25" s="393"/>
      <c r="AX25" s="393"/>
      <c r="AY25" s="393"/>
      <c r="AZ25" s="437"/>
      <c r="BA25" s="393"/>
      <c r="BB25" s="513"/>
      <c r="BC25" s="439"/>
      <c r="BD25" s="435"/>
      <c r="BG25" s="393"/>
      <c r="BH25" s="393"/>
      <c r="BI25" s="393"/>
      <c r="BJ25" s="393"/>
      <c r="BK25" s="393"/>
      <c r="BL25" s="393"/>
      <c r="BM25" s="437"/>
      <c r="BN25" s="393"/>
      <c r="BO25" s="439"/>
      <c r="BP25" s="439"/>
      <c r="BQ25" s="435"/>
      <c r="BT25" s="393"/>
      <c r="BU25" s="393"/>
      <c r="BV25" s="393"/>
      <c r="BW25" s="393"/>
      <c r="BX25" s="393"/>
      <c r="BY25" s="393"/>
      <c r="BZ25" s="437"/>
      <c r="CA25" s="393"/>
      <c r="CB25" s="513"/>
      <c r="CC25" s="513"/>
      <c r="CD25" s="61"/>
      <c r="CE25" s="61"/>
      <c r="CF25" s="61"/>
      <c r="CG25" s="61"/>
    </row>
    <row r="26" spans="1:85" ht="9.9" customHeight="1">
      <c r="A26" s="398" t="s">
        <v>85</v>
      </c>
      <c r="B26" s="398"/>
      <c r="C26" s="398"/>
      <c r="D26" s="398"/>
      <c r="E26" s="398"/>
      <c r="F26" s="398"/>
      <c r="G26" s="398"/>
      <c r="H26" s="398"/>
      <c r="I26" s="398"/>
      <c r="J26" s="398"/>
      <c r="K26" s="398"/>
      <c r="L26" s="398"/>
      <c r="M26" s="443"/>
      <c r="N26" s="443"/>
      <c r="O26" s="443"/>
      <c r="P26" s="443"/>
      <c r="Q26" s="443"/>
      <c r="R26" s="443"/>
      <c r="S26" s="443"/>
      <c r="T26" s="443"/>
      <c r="U26" s="443"/>
      <c r="V26" s="443"/>
      <c r="W26" s="393"/>
      <c r="X26" s="393"/>
      <c r="Y26" s="393"/>
      <c r="Z26" s="393"/>
      <c r="AA26" s="393"/>
      <c r="AB26" s="393"/>
      <c r="AC26" s="506"/>
      <c r="AD26" s="506"/>
      <c r="AE26" s="506"/>
      <c r="AF26" s="506"/>
      <c r="AG26" s="506"/>
      <c r="AH26" s="506"/>
      <c r="AI26" s="506"/>
      <c r="AJ26" s="506"/>
      <c r="AK26" s="506"/>
      <c r="AL26" s="506"/>
      <c r="AM26" s="506"/>
      <c r="AN26" s="506"/>
      <c r="AO26" s="265"/>
      <c r="AP26" s="435"/>
      <c r="AQ26" s="435"/>
      <c r="AR26" s="392"/>
      <c r="AS26" s="392"/>
      <c r="AT26" s="393"/>
      <c r="AU26" s="393"/>
      <c r="AV26" s="393"/>
      <c r="AW26" s="393"/>
      <c r="AX26" s="393"/>
      <c r="AY26" s="393"/>
      <c r="AZ26" s="437"/>
      <c r="BA26" s="393"/>
      <c r="BB26" s="513"/>
      <c r="BC26" s="439"/>
      <c r="BD26" s="435"/>
      <c r="BE26" s="392"/>
      <c r="BF26" s="392"/>
      <c r="BG26" s="393"/>
      <c r="BH26" s="393"/>
      <c r="BI26" s="393"/>
      <c r="BJ26" s="393"/>
      <c r="BK26" s="393"/>
      <c r="BL26" s="393"/>
      <c r="BM26" s="437"/>
      <c r="BN26" s="393"/>
      <c r="BO26" s="439"/>
      <c r="BP26" s="439"/>
      <c r="BQ26" s="435"/>
      <c r="BR26" s="392"/>
      <c r="BS26" s="392"/>
      <c r="BT26" s="393"/>
      <c r="BU26" s="393"/>
      <c r="BV26" s="393"/>
      <c r="BW26" s="393"/>
      <c r="BX26" s="393"/>
      <c r="BY26" s="393"/>
      <c r="BZ26" s="437"/>
      <c r="CA26" s="393"/>
      <c r="CB26" s="513"/>
      <c r="CC26" s="513"/>
      <c r="CD26" s="61"/>
      <c r="CE26" s="61"/>
      <c r="CF26" s="61"/>
      <c r="CG26" s="61"/>
    </row>
    <row r="27" spans="1:85" ht="5.0999999999999996" customHeight="1">
      <c r="A27" s="398"/>
      <c r="B27" s="398"/>
      <c r="C27" s="398"/>
      <c r="D27" s="398"/>
      <c r="E27" s="398"/>
      <c r="F27" s="398"/>
      <c r="G27" s="398"/>
      <c r="H27" s="398"/>
      <c r="I27" s="398"/>
      <c r="J27" s="398"/>
      <c r="K27" s="398"/>
      <c r="L27" s="398"/>
      <c r="M27" s="443"/>
      <c r="N27" s="443"/>
      <c r="O27" s="443"/>
      <c r="P27" s="443"/>
      <c r="Q27" s="443"/>
      <c r="R27" s="443"/>
      <c r="S27" s="443"/>
      <c r="T27" s="443"/>
      <c r="U27" s="443"/>
      <c r="V27" s="443"/>
      <c r="W27" s="393"/>
      <c r="X27" s="393"/>
      <c r="Y27" s="393"/>
      <c r="Z27" s="393"/>
      <c r="AA27" s="393"/>
      <c r="AB27" s="393"/>
      <c r="AC27" s="506"/>
      <c r="AD27" s="506"/>
      <c r="AE27" s="506"/>
      <c r="AF27" s="506"/>
      <c r="AG27" s="506"/>
      <c r="AH27" s="506"/>
      <c r="AI27" s="506"/>
      <c r="AJ27" s="506"/>
      <c r="AK27" s="506"/>
      <c r="AL27" s="506"/>
      <c r="AM27" s="506"/>
      <c r="AN27" s="506"/>
      <c r="AO27" s="265"/>
      <c r="AP27" s="435"/>
      <c r="AQ27" s="435"/>
      <c r="AR27" s="392"/>
      <c r="AS27" s="392"/>
      <c r="AT27" s="393"/>
      <c r="AU27" s="393"/>
      <c r="AV27" s="393"/>
      <c r="AW27" s="393"/>
      <c r="AX27" s="393"/>
      <c r="AY27" s="393"/>
      <c r="AZ27" s="437"/>
      <c r="BA27" s="393"/>
      <c r="BB27" s="513"/>
      <c r="BC27" s="439"/>
      <c r="BD27" s="435"/>
      <c r="BE27" s="392"/>
      <c r="BF27" s="392"/>
      <c r="BG27" s="393"/>
      <c r="BH27" s="393"/>
      <c r="BI27" s="393"/>
      <c r="BJ27" s="393"/>
      <c r="BK27" s="393"/>
      <c r="BL27" s="393"/>
      <c r="BM27" s="437"/>
      <c r="BN27" s="393"/>
      <c r="BO27" s="439"/>
      <c r="BP27" s="439"/>
      <c r="BQ27" s="435"/>
      <c r="BR27" s="392"/>
      <c r="BS27" s="392"/>
      <c r="BT27" s="393"/>
      <c r="BU27" s="393"/>
      <c r="BV27" s="393"/>
      <c r="BW27" s="393"/>
      <c r="BX27" s="393"/>
      <c r="BY27" s="393"/>
      <c r="BZ27" s="437"/>
      <c r="CA27" s="393"/>
      <c r="CB27" s="513"/>
      <c r="CC27" s="513"/>
      <c r="CD27" s="61"/>
      <c r="CE27" s="61"/>
      <c r="CF27" s="61"/>
      <c r="CG27" s="61"/>
    </row>
    <row r="28" spans="1:85" ht="11.1" customHeight="1">
      <c r="A28" s="175"/>
      <c r="B28" s="172"/>
      <c r="C28" s="175"/>
      <c r="D28" s="175"/>
      <c r="E28" s="175"/>
      <c r="F28" s="175"/>
      <c r="G28" s="187"/>
      <c r="H28" s="187"/>
      <c r="I28" s="175"/>
      <c r="J28" s="172"/>
      <c r="K28" s="175"/>
      <c r="L28" s="175"/>
      <c r="M28" s="157"/>
      <c r="N28" s="157"/>
      <c r="O28" s="188"/>
      <c r="P28" s="188"/>
      <c r="Q28" s="157"/>
      <c r="R28" s="157"/>
      <c r="S28" s="157"/>
      <c r="T28" s="157"/>
      <c r="U28" s="157"/>
      <c r="V28" s="157"/>
      <c r="W28" s="393"/>
      <c r="X28" s="393"/>
      <c r="Y28" s="393"/>
      <c r="Z28" s="393"/>
      <c r="AA28" s="393"/>
      <c r="AB28" s="393"/>
      <c r="AC28" s="506"/>
      <c r="AD28" s="506"/>
      <c r="AE28" s="506"/>
      <c r="AF28" s="506"/>
      <c r="AG28" s="506"/>
      <c r="AH28" s="506"/>
      <c r="AI28" s="506"/>
      <c r="AJ28" s="506"/>
      <c r="AK28" s="506"/>
      <c r="AL28" s="506"/>
      <c r="AM28" s="506"/>
      <c r="AN28" s="506"/>
      <c r="AO28" s="265"/>
      <c r="AP28" s="435"/>
      <c r="AQ28" s="435"/>
      <c r="AT28" s="393"/>
      <c r="AU28" s="393"/>
      <c r="AV28" s="393"/>
      <c r="AW28" s="393"/>
      <c r="AX28" s="393"/>
      <c r="AY28" s="393"/>
      <c r="AZ28" s="437"/>
      <c r="BA28" s="393"/>
      <c r="BB28" s="513"/>
      <c r="BC28" s="439"/>
      <c r="BD28" s="435"/>
      <c r="BG28" s="393"/>
      <c r="BH28" s="393"/>
      <c r="BI28" s="393"/>
      <c r="BJ28" s="393"/>
      <c r="BK28" s="393"/>
      <c r="BL28" s="393"/>
      <c r="BM28" s="437"/>
      <c r="BN28" s="393"/>
      <c r="BO28" s="439"/>
      <c r="BP28" s="439"/>
      <c r="BQ28" s="435"/>
      <c r="BT28" s="393"/>
      <c r="BU28" s="393"/>
      <c r="BV28" s="393"/>
      <c r="BW28" s="393"/>
      <c r="BX28" s="393"/>
      <c r="BY28" s="393"/>
      <c r="BZ28" s="437"/>
      <c r="CA28" s="393"/>
      <c r="CB28" s="513"/>
      <c r="CC28" s="513"/>
      <c r="CD28" s="61"/>
      <c r="CE28" s="61"/>
      <c r="CF28" s="61"/>
      <c r="CG28" s="61"/>
    </row>
    <row r="29" spans="1:85" ht="15" customHeight="1">
      <c r="A29" s="395" t="s">
        <v>172</v>
      </c>
      <c r="B29" s="395"/>
      <c r="C29" s="395"/>
      <c r="D29" s="395"/>
      <c r="E29" s="395"/>
      <c r="F29" s="395"/>
      <c r="G29" s="395"/>
      <c r="H29" s="395"/>
      <c r="I29" s="395"/>
      <c r="J29" s="395"/>
      <c r="K29" s="395"/>
      <c r="L29" s="395"/>
      <c r="M29" s="460"/>
      <c r="N29" s="460"/>
      <c r="O29" s="460"/>
      <c r="P29" s="460"/>
      <c r="Q29" s="460"/>
      <c r="R29" s="460"/>
      <c r="S29" s="460"/>
      <c r="T29" s="460"/>
      <c r="U29" s="460"/>
      <c r="V29" s="460"/>
      <c r="W29" s="393"/>
      <c r="X29" s="393"/>
      <c r="Y29" s="393"/>
      <c r="Z29" s="393"/>
      <c r="AA29" s="393"/>
      <c r="AB29" s="393"/>
      <c r="AC29" s="506"/>
      <c r="AD29" s="506"/>
      <c r="AE29" s="506"/>
      <c r="AF29" s="506"/>
      <c r="AG29" s="506"/>
      <c r="AH29" s="506"/>
      <c r="AI29" s="506"/>
      <c r="AJ29" s="506"/>
      <c r="AK29" s="506"/>
      <c r="AL29" s="506"/>
      <c r="AM29" s="506"/>
      <c r="AN29" s="506"/>
      <c r="AO29" s="265"/>
      <c r="AP29" s="435"/>
      <c r="AQ29" s="435"/>
      <c r="AR29" s="392"/>
      <c r="AS29" s="392"/>
      <c r="AT29" s="393"/>
      <c r="AU29" s="393"/>
      <c r="AV29" s="393"/>
      <c r="AW29" s="393"/>
      <c r="AX29" s="393"/>
      <c r="AY29" s="393"/>
      <c r="AZ29" s="437"/>
      <c r="BA29" s="393"/>
      <c r="BB29" s="513"/>
      <c r="BC29" s="439"/>
      <c r="BD29" s="435"/>
      <c r="BE29" s="392"/>
      <c r="BF29" s="392"/>
      <c r="BG29" s="393"/>
      <c r="BH29" s="393"/>
      <c r="BI29" s="393"/>
      <c r="BJ29" s="393"/>
      <c r="BK29" s="393"/>
      <c r="BL29" s="393"/>
      <c r="BM29" s="437"/>
      <c r="BN29" s="393"/>
      <c r="BO29" s="439"/>
      <c r="BP29" s="439"/>
      <c r="BQ29" s="435"/>
      <c r="BR29" s="392"/>
      <c r="BS29" s="392"/>
      <c r="BT29" s="393"/>
      <c r="BU29" s="393"/>
      <c r="BV29" s="393"/>
      <c r="BW29" s="393"/>
      <c r="BX29" s="393"/>
      <c r="BY29" s="393"/>
      <c r="BZ29" s="437"/>
      <c r="CA29" s="393"/>
      <c r="CB29" s="513"/>
      <c r="CC29" s="513"/>
      <c r="CD29" s="61"/>
      <c r="CE29" s="61"/>
      <c r="CF29" s="61"/>
      <c r="CG29" s="61"/>
    </row>
    <row r="30" spans="1:85" ht="15" customHeight="1">
      <c r="A30" s="398" t="s">
        <v>173</v>
      </c>
      <c r="B30" s="398"/>
      <c r="C30" s="398"/>
      <c r="D30" s="398"/>
      <c r="E30" s="398"/>
      <c r="F30" s="398"/>
      <c r="G30" s="398"/>
      <c r="H30" s="398"/>
      <c r="I30" s="398"/>
      <c r="J30" s="398"/>
      <c r="K30" s="398"/>
      <c r="L30" s="398"/>
      <c r="M30" s="444"/>
      <c r="N30" s="444"/>
      <c r="O30" s="444"/>
      <c r="P30" s="444"/>
      <c r="Q30" s="444"/>
      <c r="R30" s="444"/>
      <c r="S30" s="444"/>
      <c r="T30" s="444"/>
      <c r="U30" s="444"/>
      <c r="V30" s="444"/>
      <c r="W30" s="393"/>
      <c r="X30" s="393"/>
      <c r="Y30" s="393"/>
      <c r="Z30" s="393"/>
      <c r="AA30" s="393"/>
      <c r="AB30" s="393"/>
      <c r="AC30" s="506"/>
      <c r="AD30" s="506"/>
      <c r="AE30" s="506"/>
      <c r="AF30" s="506"/>
      <c r="AG30" s="506"/>
      <c r="AH30" s="506"/>
      <c r="AI30" s="506"/>
      <c r="AJ30" s="506"/>
      <c r="AK30" s="506"/>
      <c r="AL30" s="506"/>
      <c r="AM30" s="506"/>
      <c r="AN30" s="506"/>
      <c r="AO30" s="265"/>
      <c r="AP30" s="435"/>
      <c r="AQ30" s="435"/>
      <c r="AR30" s="393"/>
      <c r="AS30" s="393"/>
      <c r="AT30" s="393"/>
      <c r="AU30" s="393"/>
      <c r="AV30" s="393"/>
      <c r="AW30" s="393"/>
      <c r="AX30" s="393"/>
      <c r="AY30" s="393"/>
      <c r="AZ30" s="437"/>
      <c r="BA30" s="393"/>
      <c r="BB30" s="513"/>
      <c r="BC30" s="439"/>
      <c r="BD30" s="435"/>
      <c r="BE30" s="393"/>
      <c r="BF30" s="393"/>
      <c r="BG30" s="393"/>
      <c r="BH30" s="393"/>
      <c r="BI30" s="393"/>
      <c r="BJ30" s="393"/>
      <c r="BK30" s="393"/>
      <c r="BL30" s="393"/>
      <c r="BM30" s="437"/>
      <c r="BN30" s="393"/>
      <c r="BO30" s="439"/>
      <c r="BP30" s="439"/>
      <c r="BQ30" s="435"/>
      <c r="BR30" s="393"/>
      <c r="BS30" s="393"/>
      <c r="BT30" s="393"/>
      <c r="BU30" s="393"/>
      <c r="BV30" s="393"/>
      <c r="BW30" s="393"/>
      <c r="BX30" s="393"/>
      <c r="BY30" s="393"/>
      <c r="BZ30" s="437"/>
      <c r="CA30" s="393"/>
      <c r="CB30" s="513"/>
      <c r="CC30" s="513"/>
      <c r="CD30" s="61"/>
      <c r="CE30" s="61"/>
      <c r="CF30" s="61"/>
      <c r="CG30" s="61"/>
    </row>
    <row r="31" spans="1:85" ht="5.0999999999999996" customHeight="1">
      <c r="A31" s="398"/>
      <c r="B31" s="398"/>
      <c r="C31" s="398"/>
      <c r="D31" s="398"/>
      <c r="E31" s="398"/>
      <c r="F31" s="398"/>
      <c r="G31" s="398"/>
      <c r="H31" s="398"/>
      <c r="I31" s="398"/>
      <c r="J31" s="398"/>
      <c r="K31" s="398"/>
      <c r="L31" s="398"/>
      <c r="M31" s="444"/>
      <c r="N31" s="444"/>
      <c r="O31" s="444"/>
      <c r="P31" s="444"/>
      <c r="Q31" s="444"/>
      <c r="R31" s="444"/>
      <c r="S31" s="444"/>
      <c r="T31" s="444"/>
      <c r="U31" s="444"/>
      <c r="V31" s="444"/>
      <c r="W31" s="393"/>
      <c r="X31" s="393"/>
      <c r="Y31" s="393"/>
      <c r="Z31" s="393"/>
      <c r="AA31" s="393"/>
      <c r="AB31" s="393"/>
      <c r="AC31" s="506"/>
      <c r="AD31" s="506"/>
      <c r="AE31" s="506"/>
      <c r="AF31" s="506"/>
      <c r="AG31" s="506"/>
      <c r="AH31" s="506"/>
      <c r="AI31" s="506"/>
      <c r="AJ31" s="506"/>
      <c r="AK31" s="506"/>
      <c r="AL31" s="506"/>
      <c r="AM31" s="506"/>
      <c r="AN31" s="506"/>
      <c r="AO31" s="265"/>
      <c r="AP31" s="435"/>
      <c r="AQ31" s="435"/>
      <c r="AT31" s="393"/>
      <c r="AU31" s="393"/>
      <c r="AV31" s="393"/>
      <c r="AW31" s="393"/>
      <c r="AX31" s="393"/>
      <c r="AY31" s="393"/>
      <c r="AZ31" s="437"/>
      <c r="BA31" s="393"/>
      <c r="BB31" s="513"/>
      <c r="BC31" s="439"/>
      <c r="BD31" s="435"/>
      <c r="BG31" s="393"/>
      <c r="BH31" s="393"/>
      <c r="BI31" s="393"/>
      <c r="BJ31" s="393"/>
      <c r="BK31" s="393"/>
      <c r="BL31" s="393"/>
      <c r="BM31" s="437"/>
      <c r="BN31" s="393"/>
      <c r="BO31" s="439"/>
      <c r="BP31" s="439"/>
      <c r="BQ31" s="435"/>
      <c r="BT31" s="393"/>
      <c r="BU31" s="393"/>
      <c r="BV31" s="393"/>
      <c r="BW31" s="393"/>
      <c r="BX31" s="393"/>
      <c r="BY31" s="393"/>
      <c r="BZ31" s="437"/>
      <c r="CA31" s="393"/>
      <c r="CB31" s="513"/>
      <c r="CC31" s="513"/>
      <c r="CD31" s="61"/>
      <c r="CE31" s="61"/>
      <c r="CF31" s="61"/>
      <c r="CG31" s="61"/>
    </row>
    <row r="32" spans="1:85" ht="11.1" customHeight="1">
      <c r="A32" s="173"/>
      <c r="B32" s="172"/>
      <c r="C32" s="174"/>
      <c r="D32" s="174"/>
      <c r="E32" s="174"/>
      <c r="F32" s="174"/>
      <c r="G32" s="175"/>
      <c r="H32" s="175"/>
      <c r="I32" s="173"/>
      <c r="J32" s="172"/>
      <c r="K32" s="174"/>
      <c r="L32" s="174"/>
      <c r="M32" s="156"/>
      <c r="N32" s="156"/>
      <c r="O32" s="157"/>
      <c r="P32" s="157"/>
      <c r="Q32" s="156"/>
      <c r="R32" s="156"/>
      <c r="S32" s="158"/>
      <c r="T32" s="158"/>
      <c r="U32" s="159"/>
      <c r="V32" s="159"/>
      <c r="W32" s="393"/>
      <c r="X32" s="393"/>
      <c r="Y32" s="393"/>
      <c r="Z32" s="393"/>
      <c r="AA32" s="393"/>
      <c r="AB32" s="393"/>
      <c r="AC32" s="506"/>
      <c r="AD32" s="506"/>
      <c r="AE32" s="506"/>
      <c r="AF32" s="506"/>
      <c r="AG32" s="506"/>
      <c r="AH32" s="506"/>
      <c r="AI32" s="506"/>
      <c r="AJ32" s="506"/>
      <c r="AK32" s="506"/>
      <c r="AL32" s="506"/>
      <c r="AM32" s="506"/>
      <c r="AN32" s="506"/>
      <c r="AO32" s="265"/>
      <c r="AP32" s="435"/>
      <c r="AQ32" s="435"/>
      <c r="AT32" s="393"/>
      <c r="AU32" s="393"/>
      <c r="AV32" s="393"/>
      <c r="AW32" s="393"/>
      <c r="AX32" s="393"/>
      <c r="AY32" s="393"/>
      <c r="AZ32" s="437"/>
      <c r="BA32" s="393"/>
      <c r="BB32" s="513"/>
      <c r="BC32" s="439"/>
      <c r="BD32" s="435"/>
      <c r="BG32" s="393"/>
      <c r="BH32" s="393"/>
      <c r="BI32" s="393"/>
      <c r="BJ32" s="393"/>
      <c r="BK32" s="393"/>
      <c r="BL32" s="393"/>
      <c r="BM32" s="437"/>
      <c r="BN32" s="393"/>
      <c r="BO32" s="439"/>
      <c r="BP32" s="439"/>
      <c r="BQ32" s="435"/>
      <c r="BT32" s="393"/>
      <c r="BU32" s="393"/>
      <c r="BV32" s="393"/>
      <c r="BW32" s="393"/>
      <c r="BX32" s="393"/>
      <c r="BY32" s="393"/>
      <c r="BZ32" s="437"/>
      <c r="CA32" s="393"/>
      <c r="CB32" s="513"/>
      <c r="CC32" s="513"/>
      <c r="CD32" s="61"/>
      <c r="CE32" s="61"/>
      <c r="CF32" s="61"/>
      <c r="CG32" s="61"/>
    </row>
    <row r="33" spans="1:85" ht="14.1" customHeight="1">
      <c r="A33" s="395" t="s">
        <v>169</v>
      </c>
      <c r="B33" s="395"/>
      <c r="C33" s="395"/>
      <c r="D33" s="395"/>
      <c r="E33" s="395"/>
      <c r="F33" s="395"/>
      <c r="G33" s="395"/>
      <c r="H33" s="395"/>
      <c r="I33" s="395"/>
      <c r="J33" s="395"/>
      <c r="K33" s="395"/>
      <c r="L33" s="395"/>
      <c r="M33" s="508"/>
      <c r="N33" s="508"/>
      <c r="O33" s="508"/>
      <c r="P33" s="508"/>
      <c r="Q33" s="508"/>
      <c r="R33" s="508"/>
      <c r="S33" s="508"/>
      <c r="T33" s="508"/>
      <c r="U33" s="508"/>
      <c r="V33" s="508"/>
      <c r="W33" s="393"/>
      <c r="X33" s="393"/>
      <c r="Y33" s="393"/>
      <c r="Z33" s="393"/>
      <c r="AA33" s="393"/>
      <c r="AB33" s="393"/>
      <c r="AC33" s="506"/>
      <c r="AD33" s="506"/>
      <c r="AE33" s="506"/>
      <c r="AF33" s="506"/>
      <c r="AG33" s="506"/>
      <c r="AH33" s="506"/>
      <c r="AI33" s="506"/>
      <c r="AJ33" s="506"/>
      <c r="AK33" s="506"/>
      <c r="AL33" s="506"/>
      <c r="AM33" s="506"/>
      <c r="AN33" s="506"/>
      <c r="AO33" s="265"/>
      <c r="AP33" s="435"/>
      <c r="AQ33" s="435"/>
      <c r="AW33" s="144"/>
      <c r="AX33" s="184"/>
      <c r="AY33" s="182"/>
      <c r="AZ33" s="182"/>
      <c r="BA33" s="393"/>
      <c r="BB33" s="513"/>
      <c r="BC33" s="439"/>
      <c r="BD33" s="435"/>
      <c r="BJ33" s="144"/>
      <c r="BK33" s="305"/>
      <c r="BL33" s="182"/>
      <c r="BM33" s="182"/>
      <c r="BO33" s="439"/>
      <c r="BP33" s="439"/>
      <c r="BQ33" s="435"/>
      <c r="BW33" s="144"/>
      <c r="BX33" s="171"/>
      <c r="BY33" s="182"/>
      <c r="BZ33" s="182"/>
      <c r="CA33" s="393"/>
      <c r="CB33" s="513"/>
      <c r="CC33" s="513"/>
      <c r="CD33" s="61"/>
      <c r="CE33" s="61"/>
      <c r="CF33" s="61"/>
      <c r="CG33" s="61"/>
    </row>
    <row r="34" spans="1:85" ht="8.1" customHeight="1">
      <c r="A34" s="176"/>
      <c r="B34" s="172"/>
      <c r="C34" s="176"/>
      <c r="D34" s="176"/>
      <c r="E34" s="176"/>
      <c r="F34" s="176"/>
      <c r="G34" s="176"/>
      <c r="H34" s="176"/>
      <c r="I34" s="176"/>
      <c r="J34" s="172"/>
      <c r="K34" s="176"/>
      <c r="L34" s="176"/>
      <c r="M34" s="461"/>
      <c r="N34" s="461"/>
      <c r="O34" s="461"/>
      <c r="P34" s="461"/>
      <c r="Q34" s="461"/>
      <c r="R34" s="461"/>
      <c r="S34" s="461"/>
      <c r="T34" s="461"/>
      <c r="U34" s="461"/>
      <c r="V34" s="461"/>
      <c r="W34" s="393"/>
      <c r="X34" s="393"/>
      <c r="Y34" s="393"/>
      <c r="Z34" s="393"/>
      <c r="AA34" s="393"/>
      <c r="AB34" s="393"/>
      <c r="AC34" s="506"/>
      <c r="AD34" s="506"/>
      <c r="AE34" s="506"/>
      <c r="AF34" s="506"/>
      <c r="AG34" s="506"/>
      <c r="AH34" s="506"/>
      <c r="AI34" s="506"/>
      <c r="AJ34" s="506"/>
      <c r="AK34" s="506"/>
      <c r="AL34" s="506"/>
      <c r="AM34" s="506"/>
      <c r="AN34" s="506"/>
      <c r="AO34" s="265"/>
      <c r="AP34" s="182"/>
      <c r="BC34" s="115"/>
      <c r="BP34" s="115"/>
      <c r="CD34" s="61"/>
      <c r="CE34" s="61"/>
      <c r="CF34" s="61"/>
      <c r="CG34" s="61"/>
    </row>
    <row r="35" spans="1:85" ht="14.1" customHeight="1">
      <c r="A35" s="398" t="str">
        <f>IF($M$30="NO","","FINITURA CERNIERA :")</f>
        <v>FINITURA CERNIERA :</v>
      </c>
      <c r="B35" s="398"/>
      <c r="C35" s="398"/>
      <c r="D35" s="398"/>
      <c r="E35" s="398"/>
      <c r="F35" s="398"/>
      <c r="G35" s="398"/>
      <c r="H35" s="398"/>
      <c r="I35" s="398"/>
      <c r="J35" s="398"/>
      <c r="K35" s="398"/>
      <c r="L35" s="398"/>
      <c r="M35" s="443"/>
      <c r="N35" s="443"/>
      <c r="O35" s="443"/>
      <c r="P35" s="443"/>
      <c r="Q35" s="443"/>
      <c r="R35" s="443"/>
      <c r="S35" s="443"/>
      <c r="T35" s="443"/>
      <c r="U35" s="443"/>
      <c r="V35" s="443"/>
      <c r="W35" s="393"/>
      <c r="X35" s="393"/>
      <c r="Y35" s="393"/>
      <c r="Z35" s="393"/>
      <c r="AA35" s="393"/>
      <c r="AB35" s="393"/>
      <c r="AC35" s="506"/>
      <c r="AD35" s="506"/>
      <c r="AE35" s="506"/>
      <c r="AF35" s="506"/>
      <c r="AG35" s="506"/>
      <c r="AH35" s="506"/>
      <c r="AI35" s="506"/>
      <c r="AJ35" s="506"/>
      <c r="AK35" s="506"/>
      <c r="AL35" s="506"/>
      <c r="AM35" s="506"/>
      <c r="AN35" s="506"/>
      <c r="AO35" s="265"/>
      <c r="AP35" s="429" t="str">
        <f>IF(AW35="","CON MANIGLIA ? →","CON MANIGLIA")</f>
        <v>CON MANIGLIA ? →</v>
      </c>
      <c r="AQ35" s="429"/>
      <c r="AR35" s="429"/>
      <c r="AS35" s="429"/>
      <c r="AT35" s="429"/>
      <c r="AU35" s="429"/>
      <c r="AV35" s="429"/>
      <c r="AW35" s="150"/>
      <c r="AX35" s="514"/>
      <c r="AY35" s="514"/>
      <c r="AZ35" s="514"/>
      <c r="BA35" s="438" t="str">
        <f>IF(AX35="Fori Ø 5 passo","mm","")</f>
        <v/>
      </c>
      <c r="BB35" s="438"/>
      <c r="BC35" s="184"/>
      <c r="BD35" s="429" t="str">
        <f>IF(BJ35="","CON MANIGLIA ? →","CON MANIGLIA")</f>
        <v>CON MANIGLIA ? →</v>
      </c>
      <c r="BE35" s="429"/>
      <c r="BF35" s="429"/>
      <c r="BG35" s="429"/>
      <c r="BH35" s="429"/>
      <c r="BI35" s="429"/>
      <c r="BJ35" s="150"/>
      <c r="BK35" s="514"/>
      <c r="BL35" s="514"/>
      <c r="BM35" s="514"/>
      <c r="BN35" s="438" t="str">
        <f>IF(BK35="Fori Ø 5 passo","mm","")</f>
        <v/>
      </c>
      <c r="BO35" s="438"/>
      <c r="BP35" s="184"/>
      <c r="BQ35" s="429" t="str">
        <f>IF(BW35="","CON MANIGLIA ? →","CON MANIGLIA")</f>
        <v>CON MANIGLIA ? →</v>
      </c>
      <c r="BR35" s="429"/>
      <c r="BS35" s="429"/>
      <c r="BT35" s="429"/>
      <c r="BU35" s="429"/>
      <c r="BV35" s="429"/>
      <c r="BW35" s="150"/>
      <c r="BX35" s="514"/>
      <c r="BY35" s="514"/>
      <c r="BZ35" s="514"/>
      <c r="CA35" s="438" t="str">
        <f>IF(BX35="Fori Ø 5 passo","mm","")</f>
        <v/>
      </c>
      <c r="CB35" s="438"/>
      <c r="CC35" s="184"/>
      <c r="CD35" s="62"/>
      <c r="CE35" s="61"/>
      <c r="CF35" s="61"/>
      <c r="CG35" s="61"/>
    </row>
    <row r="36" spans="1:85" ht="3" customHeight="1">
      <c r="A36" s="398"/>
      <c r="B36" s="398"/>
      <c r="C36" s="398"/>
      <c r="D36" s="398"/>
      <c r="E36" s="398"/>
      <c r="F36" s="398"/>
      <c r="G36" s="398"/>
      <c r="H36" s="398"/>
      <c r="I36" s="398"/>
      <c r="J36" s="398"/>
      <c r="K36" s="398"/>
      <c r="L36" s="398"/>
      <c r="M36" s="443"/>
      <c r="N36" s="443"/>
      <c r="O36" s="443"/>
      <c r="P36" s="443"/>
      <c r="Q36" s="443"/>
      <c r="R36" s="443"/>
      <c r="S36" s="443"/>
      <c r="T36" s="443"/>
      <c r="U36" s="443"/>
      <c r="V36" s="443"/>
      <c r="W36" s="393"/>
      <c r="X36" s="393"/>
      <c r="Y36" s="393"/>
      <c r="Z36" s="393"/>
      <c r="AA36" s="393"/>
      <c r="AB36" s="393"/>
      <c r="AC36" s="506"/>
      <c r="AD36" s="506"/>
      <c r="AE36" s="506"/>
      <c r="AF36" s="506"/>
      <c r="AG36" s="506"/>
      <c r="AH36" s="506"/>
      <c r="AI36" s="506"/>
      <c r="AJ36" s="506"/>
      <c r="AK36" s="506"/>
      <c r="AL36" s="506"/>
      <c r="AM36" s="506"/>
      <c r="AN36" s="506"/>
      <c r="AO36" s="265"/>
      <c r="AP36" s="166"/>
      <c r="AQ36" s="166"/>
      <c r="AR36" s="166"/>
      <c r="AS36" s="166"/>
      <c r="AT36" s="166"/>
      <c r="AU36" s="166"/>
      <c r="AY36" s="166"/>
      <c r="AZ36" s="166"/>
      <c r="BA36" s="166"/>
      <c r="BB36" s="166"/>
      <c r="BC36" s="167"/>
      <c r="BP36" s="115"/>
      <c r="CD36" s="61"/>
      <c r="CE36" s="61"/>
      <c r="CF36" s="61"/>
      <c r="CG36" s="61"/>
    </row>
    <row r="37" spans="1:85" ht="12" customHeight="1">
      <c r="A37" s="511" t="str">
        <f>IF(AND($M$26="art. PR2",$M$30="SI",$M$33="DS 20",$M$35&lt;&gt;""),"CON SUPPORTI PER CERNIERE?","")</f>
        <v/>
      </c>
      <c r="B37" s="511"/>
      <c r="C37" s="511"/>
      <c r="D37" s="511"/>
      <c r="E37" s="511"/>
      <c r="F37" s="511"/>
      <c r="G37" s="511"/>
      <c r="H37" s="511"/>
      <c r="I37" s="511"/>
      <c r="J37" s="511"/>
      <c r="K37" s="511"/>
      <c r="L37" s="511"/>
      <c r="M37" s="512"/>
      <c r="N37" s="512"/>
      <c r="O37" s="512"/>
      <c r="P37" s="510" t="str">
        <f>IF(AND($M$26="art. PR30",$M$30="SI",$M$33="DS 30"),"CON SUPPORTI PER CERNIERE            ","")</f>
        <v/>
      </c>
      <c r="Q37" s="510"/>
      <c r="R37" s="510"/>
      <c r="S37" s="510"/>
      <c r="T37" s="510"/>
      <c r="U37" s="510"/>
      <c r="V37" s="510"/>
      <c r="W37" s="393"/>
      <c r="X37" s="393"/>
      <c r="Y37" s="393"/>
      <c r="Z37" s="393"/>
      <c r="AA37" s="393"/>
      <c r="AB37" s="393"/>
      <c r="AC37" s="506"/>
      <c r="AD37" s="506"/>
      <c r="AE37" s="506"/>
      <c r="AF37" s="506"/>
      <c r="AG37" s="506"/>
      <c r="AH37" s="506"/>
      <c r="AI37" s="506"/>
      <c r="AJ37" s="506"/>
      <c r="AK37" s="506"/>
      <c r="AL37" s="506"/>
      <c r="AM37" s="506"/>
      <c r="AN37" s="506"/>
      <c r="AO37" s="265"/>
      <c r="AP37" s="400"/>
      <c r="AQ37" s="400"/>
      <c r="AR37" s="400"/>
      <c r="AS37" s="400"/>
      <c r="AT37" s="400"/>
      <c r="AU37" s="400"/>
      <c r="AV37" s="183" t="str">
        <f>IF($V$61&gt;0,"N° SX","")</f>
        <v/>
      </c>
      <c r="AW37" s="442" t="str">
        <f>IF(OR($I$61&gt;0,$R$61&gt;0),"D","")</f>
        <v/>
      </c>
      <c r="AX37" s="183" t="str">
        <f>IF($X$61&gt;0,"N° DX","")</f>
        <v/>
      </c>
      <c r="AY37" s="400"/>
      <c r="AZ37" s="400"/>
      <c r="BA37" s="400"/>
      <c r="BB37" s="400"/>
      <c r="BC37" s="558"/>
      <c r="BD37" s="516"/>
      <c r="BE37" s="400"/>
      <c r="BF37" s="400"/>
      <c r="BG37" s="400"/>
      <c r="BH37" s="400"/>
      <c r="BI37" s="183" t="str">
        <f>IF($V$65&gt;0,"N° SX","")</f>
        <v/>
      </c>
      <c r="BJ37" s="442" t="str">
        <f>IF(OR($I$65&gt;0,$R$65&gt;0),"E","")</f>
        <v/>
      </c>
      <c r="BK37" s="183" t="str">
        <f>IF($X$65&gt;0,"N° DX","")</f>
        <v/>
      </c>
      <c r="BL37" s="504"/>
      <c r="BM37" s="504"/>
      <c r="BN37" s="504"/>
      <c r="BO37" s="504"/>
      <c r="BP37" s="501"/>
      <c r="BQ37" s="532"/>
      <c r="BR37" s="504"/>
      <c r="BS37" s="504"/>
      <c r="BT37" s="504"/>
      <c r="BU37" s="504"/>
      <c r="BV37" s="504"/>
      <c r="BW37" s="504"/>
      <c r="BX37" s="504"/>
      <c r="BY37" s="504"/>
      <c r="BZ37" s="504"/>
      <c r="CA37" s="504"/>
      <c r="CB37" s="504"/>
      <c r="CC37" s="504"/>
      <c r="CD37" s="61"/>
      <c r="CE37" s="61"/>
      <c r="CF37" s="61"/>
      <c r="CG37" s="61"/>
    </row>
    <row r="38" spans="1:85" ht="14.1" customHeight="1">
      <c r="A38" s="395" t="s">
        <v>103</v>
      </c>
      <c r="B38" s="395"/>
      <c r="C38" s="395"/>
      <c r="D38" s="395"/>
      <c r="E38" s="395"/>
      <c r="F38" s="395"/>
      <c r="G38" s="395"/>
      <c r="H38" s="395"/>
      <c r="I38" s="395"/>
      <c r="J38" s="395"/>
      <c r="K38" s="395"/>
      <c r="L38" s="395"/>
      <c r="M38" s="460"/>
      <c r="N38" s="460"/>
      <c r="O38" s="460"/>
      <c r="P38" s="460"/>
      <c r="Q38" s="460"/>
      <c r="R38" s="460"/>
      <c r="S38" s="460"/>
      <c r="T38" s="460"/>
      <c r="U38" s="460"/>
      <c r="V38" s="460"/>
      <c r="W38" s="460"/>
      <c r="X38" s="460"/>
      <c r="Y38" s="460"/>
      <c r="Z38" s="460"/>
      <c r="AA38" s="460"/>
      <c r="AB38" s="460"/>
      <c r="AC38" s="506"/>
      <c r="AD38" s="506"/>
      <c r="AE38" s="506"/>
      <c r="AF38" s="506"/>
      <c r="AG38" s="506"/>
      <c r="AH38" s="506"/>
      <c r="AI38" s="506"/>
      <c r="AJ38" s="506"/>
      <c r="AK38" s="506"/>
      <c r="AL38" s="506"/>
      <c r="AM38" s="506"/>
      <c r="AN38" s="506"/>
      <c r="AO38" s="265"/>
      <c r="AP38" s="393"/>
      <c r="AQ38" s="393"/>
      <c r="AR38" s="393"/>
      <c r="AS38" s="393"/>
      <c r="AT38" s="393"/>
      <c r="AU38" s="393"/>
      <c r="AV38" s="63" t="str">
        <f>IF($V$61&gt;0,$V$61,"")</f>
        <v/>
      </c>
      <c r="AW38" s="432"/>
      <c r="AX38" s="63" t="str">
        <f>IF($X$61&gt;0,$X$61,"")</f>
        <v/>
      </c>
      <c r="AY38" s="393"/>
      <c r="AZ38" s="393"/>
      <c r="BA38" s="393"/>
      <c r="BB38" s="393"/>
      <c r="BC38" s="433"/>
      <c r="BD38" s="517"/>
      <c r="BE38" s="393"/>
      <c r="BF38" s="393"/>
      <c r="BG38" s="393"/>
      <c r="BH38" s="393"/>
      <c r="BI38" s="63" t="str">
        <f>IF($V$65&gt;0,$V$65,"")</f>
        <v/>
      </c>
      <c r="BJ38" s="432"/>
      <c r="BK38" s="63" t="str">
        <f>IF($X$65&gt;0,$X$65,"")</f>
        <v/>
      </c>
      <c r="BL38" s="429"/>
      <c r="BM38" s="429"/>
      <c r="BN38" s="429"/>
      <c r="BO38" s="429"/>
      <c r="BP38" s="535"/>
      <c r="BQ38" s="556"/>
      <c r="BR38" s="429"/>
      <c r="BS38" s="429"/>
      <c r="BT38" s="429"/>
      <c r="BU38" s="429"/>
      <c r="BV38" s="429"/>
      <c r="BW38" s="429"/>
      <c r="BX38" s="429"/>
      <c r="BY38" s="429"/>
      <c r="BZ38" s="429"/>
      <c r="CA38" s="429"/>
      <c r="CB38" s="429"/>
      <c r="CC38" s="429"/>
      <c r="CD38" s="61"/>
      <c r="CE38" s="61"/>
      <c r="CF38" s="61"/>
      <c r="CG38" s="61"/>
    </row>
    <row r="39" spans="1:85" ht="5.0999999999999996" customHeight="1">
      <c r="A39" s="155"/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507" t="str">
        <f>IF(AND(OR(M26="ART. 3301",M26="ART. 2020"),OR(M38="SATINATO FUME'",M38="SATINATO BRONZO",M38="STOPSOL FUME'",M38="STOPSOL BRONZO",M38="FUME'",M38="BRONZO",M38="TRASPARENTE",M38="TRASPARENTE EXTRACHIARO",M38="SATINATO EXTRACHIARO",M38="SATINATO")),"PERIMETRO DA RETROLACCARE PER NASCONDERE IL SILICONE","")</f>
        <v/>
      </c>
      <c r="N39" s="507"/>
      <c r="O39" s="507"/>
      <c r="P39" s="507"/>
      <c r="Q39" s="507"/>
      <c r="R39" s="507"/>
      <c r="S39" s="507"/>
      <c r="T39" s="507"/>
      <c r="U39" s="507"/>
      <c r="V39" s="507"/>
      <c r="W39" s="507"/>
      <c r="X39" s="507"/>
      <c r="Y39" s="507"/>
      <c r="Z39" s="507"/>
      <c r="AA39" s="507"/>
      <c r="AB39" s="507"/>
      <c r="AC39" s="506"/>
      <c r="AD39" s="506"/>
      <c r="AE39" s="506"/>
      <c r="AF39" s="506"/>
      <c r="AG39" s="506"/>
      <c r="AH39" s="506"/>
      <c r="AI39" s="506"/>
      <c r="AJ39" s="506"/>
      <c r="AK39" s="506"/>
      <c r="AL39" s="506"/>
      <c r="AM39" s="506"/>
      <c r="AN39" s="506"/>
      <c r="AO39" s="265"/>
      <c r="AP39" s="393"/>
      <c r="AQ39" s="393"/>
      <c r="AR39" s="393"/>
      <c r="AS39" s="393"/>
      <c r="AT39" s="393"/>
      <c r="AU39" s="393"/>
      <c r="AV39" s="430"/>
      <c r="AW39" s="431"/>
      <c r="AX39" s="431"/>
      <c r="AY39" s="393"/>
      <c r="AZ39" s="393"/>
      <c r="BA39" s="393"/>
      <c r="BB39" s="393"/>
      <c r="BC39" s="433"/>
      <c r="BD39" s="517"/>
      <c r="BE39" s="393"/>
      <c r="BF39" s="393"/>
      <c r="BG39" s="393"/>
      <c r="BH39" s="393"/>
      <c r="BI39" s="430"/>
      <c r="BJ39" s="431"/>
      <c r="BK39" s="431"/>
      <c r="BL39" s="429"/>
      <c r="BM39" s="429"/>
      <c r="BN39" s="429"/>
      <c r="BO39" s="429"/>
      <c r="BP39" s="535"/>
      <c r="BQ39" s="556"/>
      <c r="BR39" s="429"/>
      <c r="BS39" s="429"/>
      <c r="BT39" s="429"/>
      <c r="BU39" s="429"/>
      <c r="BV39" s="429"/>
      <c r="BW39" s="429"/>
      <c r="BX39" s="429"/>
      <c r="BY39" s="429"/>
      <c r="BZ39" s="429"/>
      <c r="CA39" s="429"/>
      <c r="CB39" s="429"/>
      <c r="CC39" s="429"/>
      <c r="CD39" s="61"/>
      <c r="CE39" s="61"/>
      <c r="CF39" s="61"/>
      <c r="CG39" s="61"/>
    </row>
    <row r="40" spans="1:85" ht="8.1" customHeight="1">
      <c r="A40" s="155"/>
      <c r="B40" s="155"/>
      <c r="C40" s="155"/>
      <c r="D40" s="155"/>
      <c r="E40" s="155"/>
      <c r="F40" s="155"/>
      <c r="G40" s="155"/>
      <c r="H40" s="155"/>
      <c r="I40" s="155"/>
      <c r="J40" s="155"/>
      <c r="K40" s="155"/>
      <c r="L40" s="155"/>
      <c r="M40" s="507"/>
      <c r="N40" s="507"/>
      <c r="O40" s="507"/>
      <c r="P40" s="507"/>
      <c r="Q40" s="507"/>
      <c r="R40" s="507"/>
      <c r="S40" s="507"/>
      <c r="T40" s="507"/>
      <c r="U40" s="507"/>
      <c r="V40" s="507"/>
      <c r="W40" s="507"/>
      <c r="X40" s="507"/>
      <c r="Y40" s="507"/>
      <c r="Z40" s="507"/>
      <c r="AA40" s="507"/>
      <c r="AB40" s="507"/>
      <c r="AC40" s="506"/>
      <c r="AD40" s="506"/>
      <c r="AE40" s="506"/>
      <c r="AF40" s="506"/>
      <c r="AG40" s="506"/>
      <c r="AH40" s="506"/>
      <c r="AI40" s="506"/>
      <c r="AJ40" s="506"/>
      <c r="AK40" s="506"/>
      <c r="AL40" s="506"/>
      <c r="AM40" s="506"/>
      <c r="AN40" s="506"/>
      <c r="AO40" s="265"/>
      <c r="AP40" s="393"/>
      <c r="AQ40" s="393"/>
      <c r="AR40" s="393"/>
      <c r="AS40" s="393"/>
      <c r="AT40" s="393"/>
      <c r="AU40" s="393"/>
      <c r="AV40" s="430"/>
      <c r="AW40" s="431"/>
      <c r="AX40" s="431"/>
      <c r="AY40" s="393"/>
      <c r="AZ40" s="393"/>
      <c r="BA40" s="393"/>
      <c r="BB40" s="393"/>
      <c r="BC40" s="433"/>
      <c r="BD40" s="517"/>
      <c r="BE40" s="393"/>
      <c r="BF40" s="393"/>
      <c r="BG40" s="393"/>
      <c r="BH40" s="393"/>
      <c r="BI40" s="430"/>
      <c r="BJ40" s="431"/>
      <c r="BK40" s="431"/>
      <c r="BL40" s="429"/>
      <c r="BM40" s="429"/>
      <c r="BN40" s="429"/>
      <c r="BO40" s="429"/>
      <c r="BP40" s="535"/>
      <c r="BQ40" s="556"/>
      <c r="BR40" s="429"/>
      <c r="BS40" s="429"/>
      <c r="BT40" s="429"/>
      <c r="BU40" s="429"/>
      <c r="BV40" s="429"/>
      <c r="BW40" s="429"/>
      <c r="BX40" s="429"/>
      <c r="BY40" s="429"/>
      <c r="BZ40" s="429"/>
      <c r="CA40" s="429"/>
      <c r="CB40" s="429"/>
      <c r="CC40" s="429"/>
      <c r="CD40" s="61"/>
      <c r="CE40" s="61"/>
      <c r="CF40" s="61"/>
      <c r="CG40" s="61"/>
    </row>
    <row r="41" spans="1:85" ht="5.0999999999999996" customHeight="1">
      <c r="A41" s="151"/>
      <c r="B41" s="386" t="str">
        <f>IF(AND($M$38&lt;&gt;"GRES",$M$38&lt;&gt;"NO VETRO",$M$38&lt;&gt;""),"I vetri sono sottoposti al trattamento della tempra, gli specchi ed i lacobel vengono forniti con pellicola antinfortunistica","")</f>
        <v/>
      </c>
      <c r="C41" s="386"/>
      <c r="D41" s="386"/>
      <c r="E41" s="386"/>
      <c r="F41" s="386"/>
      <c r="G41" s="386"/>
      <c r="H41" s="386"/>
      <c r="I41" s="386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  <c r="W41" s="386"/>
      <c r="X41" s="386"/>
      <c r="Y41" s="386"/>
      <c r="Z41" s="386"/>
      <c r="AA41" s="386" t="str">
        <f>IF($AN$49&lt;&gt;0,"PREDISPOSIZIONI E CERNIERE INCLUSE, ESCLUSI PREZZI MECCANISMI","")</f>
        <v/>
      </c>
      <c r="AB41" s="386"/>
      <c r="AC41" s="386"/>
      <c r="AD41" s="386"/>
      <c r="AE41" s="386"/>
      <c r="AF41" s="386"/>
      <c r="AG41" s="386"/>
      <c r="AH41" s="386"/>
      <c r="AI41" s="386"/>
      <c r="AJ41" s="386"/>
      <c r="AK41" s="386"/>
      <c r="AL41" s="386"/>
      <c r="AM41" s="386"/>
      <c r="AN41" s="386"/>
      <c r="AO41" s="264"/>
      <c r="AP41" s="543" t="str">
        <f>IF('dati immagini'!G21&lt;&gt;"",'dati immagini'!G21,'dati immagini'!G27)</f>
        <v/>
      </c>
      <c r="AQ41" s="543"/>
      <c r="AT41" s="393"/>
      <c r="AU41" s="393"/>
      <c r="AV41" s="393"/>
      <c r="AW41" s="393"/>
      <c r="AX41" s="393"/>
      <c r="AY41" s="393"/>
      <c r="AZ41" s="393"/>
      <c r="BA41" s="393"/>
      <c r="BB41" s="518" t="str">
        <f>IF(SUM(AR47+AR50+AR54+AR58+AR61)=0,"",SUM(AR43+AR47+AR50+AR54+AR58+AR61+AR65))</f>
        <v/>
      </c>
      <c r="BC41" s="518"/>
      <c r="BD41" s="542" t="str">
        <f>IF('dati immagini'!I21&lt;&gt;"",'dati immagini'!I21,'dati immagini'!I27)</f>
        <v/>
      </c>
      <c r="BG41" s="393"/>
      <c r="BH41" s="393"/>
      <c r="BI41" s="393"/>
      <c r="BJ41" s="393"/>
      <c r="BK41" s="393"/>
      <c r="BL41" s="393"/>
      <c r="BM41" s="393"/>
      <c r="BN41" s="393"/>
      <c r="BO41" s="515" t="str">
        <f>IF(SUM(BE47+BE50+BE54+BE58+BE61)=0,"",SUM(BE43+BE47+BE50+BE54+BE58+BE61+BE65))</f>
        <v/>
      </c>
      <c r="BP41" s="518"/>
      <c r="BQ41" s="556"/>
      <c r="BR41" s="429"/>
      <c r="BS41" s="429"/>
      <c r="BT41" s="429"/>
      <c r="BU41" s="429"/>
      <c r="BV41" s="429"/>
      <c r="BW41" s="429"/>
      <c r="BX41" s="429"/>
      <c r="BY41" s="429"/>
      <c r="BZ41" s="429"/>
      <c r="CA41" s="429"/>
      <c r="CB41" s="429"/>
      <c r="CC41" s="429"/>
      <c r="CD41" s="61"/>
      <c r="CE41" s="61"/>
      <c r="CF41" s="61"/>
      <c r="CG41" s="61"/>
    </row>
    <row r="42" spans="1:85" ht="9.9" customHeight="1">
      <c r="B42" s="386"/>
      <c r="C42" s="386"/>
      <c r="D42" s="386"/>
      <c r="E42" s="386"/>
      <c r="F42" s="386"/>
      <c r="G42" s="386"/>
      <c r="H42" s="386"/>
      <c r="I42" s="386"/>
      <c r="J42" s="386"/>
      <c r="K42" s="386"/>
      <c r="L42" s="386"/>
      <c r="M42" s="386"/>
      <c r="N42" s="386"/>
      <c r="O42" s="386"/>
      <c r="P42" s="386"/>
      <c r="Q42" s="386"/>
      <c r="R42" s="386"/>
      <c r="S42" s="386"/>
      <c r="T42" s="386"/>
      <c r="U42" s="386"/>
      <c r="V42" s="386"/>
      <c r="W42" s="386"/>
      <c r="X42" s="386"/>
      <c r="Y42" s="386"/>
      <c r="Z42" s="386"/>
      <c r="AA42" s="386"/>
      <c r="AB42" s="386"/>
      <c r="AC42" s="386"/>
      <c r="AD42" s="386"/>
      <c r="AE42" s="386"/>
      <c r="AF42" s="386"/>
      <c r="AG42" s="386"/>
      <c r="AH42" s="386"/>
      <c r="AI42" s="386"/>
      <c r="AJ42" s="386"/>
      <c r="AK42" s="386"/>
      <c r="AL42" s="386"/>
      <c r="AM42" s="386"/>
      <c r="AN42" s="386"/>
      <c r="AO42" s="264"/>
      <c r="AP42" s="543"/>
      <c r="AQ42" s="543"/>
      <c r="AT42" s="393"/>
      <c r="AU42" s="393"/>
      <c r="AV42" s="393"/>
      <c r="AW42" s="393"/>
      <c r="AX42" s="393"/>
      <c r="AY42" s="393"/>
      <c r="AZ42" s="393"/>
      <c r="BA42" s="393"/>
      <c r="BB42" s="518"/>
      <c r="BC42" s="518"/>
      <c r="BD42" s="542"/>
      <c r="BG42" s="393"/>
      <c r="BH42" s="393"/>
      <c r="BI42" s="393"/>
      <c r="BJ42" s="393"/>
      <c r="BK42" s="393"/>
      <c r="BL42" s="393"/>
      <c r="BM42" s="393"/>
      <c r="BN42" s="393"/>
      <c r="BO42" s="515"/>
      <c r="BP42" s="518"/>
      <c r="BQ42" s="556"/>
      <c r="BR42" s="429"/>
      <c r="BS42" s="429"/>
      <c r="BT42" s="429"/>
      <c r="BU42" s="429"/>
      <c r="BV42" s="429"/>
      <c r="BW42" s="429"/>
      <c r="BX42" s="429"/>
      <c r="BY42" s="429"/>
      <c r="BZ42" s="429"/>
      <c r="CA42" s="429"/>
      <c r="CB42" s="429"/>
      <c r="CC42" s="429"/>
      <c r="CD42" s="61"/>
      <c r="CE42" s="61"/>
      <c r="CF42" s="61"/>
      <c r="CG42" s="61"/>
    </row>
    <row r="43" spans="1:85" ht="6" customHeight="1">
      <c r="B43" s="559" t="s">
        <v>0</v>
      </c>
      <c r="C43" s="560"/>
      <c r="D43" s="462" t="s">
        <v>111</v>
      </c>
      <c r="E43" s="463"/>
      <c r="F43" s="463"/>
      <c r="G43" s="463"/>
      <c r="H43" s="463"/>
      <c r="I43" s="463"/>
      <c r="J43" s="463"/>
      <c r="K43" s="463"/>
      <c r="L43" s="464"/>
      <c r="M43" s="462" t="s">
        <v>66</v>
      </c>
      <c r="N43" s="463"/>
      <c r="O43" s="463"/>
      <c r="P43" s="463"/>
      <c r="Q43" s="463"/>
      <c r="R43" s="463"/>
      <c r="S43" s="464"/>
      <c r="T43" s="552" t="s">
        <v>33</v>
      </c>
      <c r="U43" s="553"/>
      <c r="V43" s="548" t="s">
        <v>165</v>
      </c>
      <c r="W43" s="548"/>
      <c r="X43" s="548"/>
      <c r="Y43" s="549"/>
      <c r="Z43" s="385" t="str">
        <f>IF($Z$69&lt;&gt;"","CON MANIGLIA","")</f>
        <v/>
      </c>
      <c r="AA43" s="494" t="s">
        <v>34</v>
      </c>
      <c r="AB43" s="495"/>
      <c r="AC43" s="495"/>
      <c r="AD43" s="495"/>
      <c r="AE43" s="495"/>
      <c r="AF43" s="495"/>
      <c r="AG43" s="495"/>
      <c r="AH43" s="495"/>
      <c r="AI43" s="495"/>
      <c r="AJ43" s="495"/>
      <c r="AK43" s="495"/>
      <c r="AL43" s="496"/>
      <c r="AM43" s="189"/>
      <c r="AN43" s="484" t="s">
        <v>167</v>
      </c>
      <c r="AO43" s="268"/>
      <c r="AP43" s="543"/>
      <c r="AQ43" s="543"/>
      <c r="AR43" s="392"/>
      <c r="AS43" s="392"/>
      <c r="AT43" s="393"/>
      <c r="AU43" s="393"/>
      <c r="AV43" s="393"/>
      <c r="AW43" s="393"/>
      <c r="AX43" s="393"/>
      <c r="AY43" s="393"/>
      <c r="AZ43" s="393"/>
      <c r="BA43" s="393"/>
      <c r="BB43" s="518"/>
      <c r="BC43" s="518"/>
      <c r="BD43" s="542"/>
      <c r="BE43" s="392"/>
      <c r="BF43" s="392"/>
      <c r="BG43" s="393"/>
      <c r="BH43" s="393"/>
      <c r="BI43" s="393"/>
      <c r="BJ43" s="393"/>
      <c r="BK43" s="393"/>
      <c r="BL43" s="393"/>
      <c r="BM43" s="393"/>
      <c r="BN43" s="393"/>
      <c r="BO43" s="515"/>
      <c r="BP43" s="518"/>
      <c r="BQ43" s="556"/>
      <c r="BR43" s="429"/>
      <c r="BS43" s="429"/>
      <c r="BT43" s="429"/>
      <c r="BU43" s="429"/>
      <c r="BV43" s="429"/>
      <c r="BW43" s="429"/>
      <c r="BX43" s="429"/>
      <c r="BY43" s="429"/>
      <c r="BZ43" s="429"/>
      <c r="CA43" s="429"/>
      <c r="CB43" s="429"/>
      <c r="CC43" s="429"/>
      <c r="CD43" s="61"/>
      <c r="CE43" s="61"/>
      <c r="CF43" s="61"/>
      <c r="CG43" s="61"/>
    </row>
    <row r="44" spans="1:85" ht="8.1" customHeight="1">
      <c r="B44" s="561"/>
      <c r="C44" s="562"/>
      <c r="D44" s="465"/>
      <c r="E44" s="426"/>
      <c r="F44" s="426"/>
      <c r="G44" s="426"/>
      <c r="H44" s="426"/>
      <c r="I44" s="426"/>
      <c r="J44" s="426"/>
      <c r="K44" s="426"/>
      <c r="L44" s="466"/>
      <c r="M44" s="465"/>
      <c r="N44" s="426"/>
      <c r="O44" s="426"/>
      <c r="P44" s="426"/>
      <c r="Q44" s="426"/>
      <c r="R44" s="426"/>
      <c r="S44" s="466"/>
      <c r="T44" s="450"/>
      <c r="U44" s="554"/>
      <c r="V44" s="550"/>
      <c r="W44" s="550"/>
      <c r="X44" s="550"/>
      <c r="Y44" s="551"/>
      <c r="Z44" s="385"/>
      <c r="AA44" s="497"/>
      <c r="AB44" s="498"/>
      <c r="AC44" s="498"/>
      <c r="AD44" s="498"/>
      <c r="AE44" s="498"/>
      <c r="AF44" s="498"/>
      <c r="AG44" s="498"/>
      <c r="AH44" s="498"/>
      <c r="AI44" s="498"/>
      <c r="AJ44" s="498"/>
      <c r="AK44" s="498"/>
      <c r="AL44" s="499"/>
      <c r="AM44" s="189"/>
      <c r="AN44" s="485"/>
      <c r="AO44" s="268"/>
      <c r="AP44" s="543"/>
      <c r="AQ44" s="543"/>
      <c r="AR44" s="392"/>
      <c r="AS44" s="392"/>
      <c r="AT44" s="393"/>
      <c r="AU44" s="393"/>
      <c r="AV44" s="393"/>
      <c r="AW44" s="393"/>
      <c r="AX44" s="393"/>
      <c r="AY44" s="393"/>
      <c r="AZ44" s="393"/>
      <c r="BA44" s="393"/>
      <c r="BB44" s="518"/>
      <c r="BC44" s="518"/>
      <c r="BD44" s="542"/>
      <c r="BE44" s="392"/>
      <c r="BF44" s="392"/>
      <c r="BG44" s="393"/>
      <c r="BH44" s="393"/>
      <c r="BI44" s="393"/>
      <c r="BJ44" s="393"/>
      <c r="BK44" s="393"/>
      <c r="BL44" s="393"/>
      <c r="BM44" s="393"/>
      <c r="BN44" s="393"/>
      <c r="BO44" s="515"/>
      <c r="BP44" s="518"/>
      <c r="BQ44" s="556"/>
      <c r="BR44" s="429"/>
      <c r="BS44" s="429"/>
      <c r="BT44" s="429"/>
      <c r="BU44" s="429"/>
      <c r="BV44" s="429"/>
      <c r="BW44" s="429"/>
      <c r="BX44" s="429"/>
      <c r="BY44" s="429"/>
      <c r="BZ44" s="429"/>
      <c r="CA44" s="429"/>
      <c r="CB44" s="429"/>
      <c r="CC44" s="429"/>
      <c r="CD44" s="61"/>
      <c r="CE44" s="61"/>
      <c r="CF44" s="61"/>
      <c r="CG44" s="61"/>
    </row>
    <row r="45" spans="1:85" ht="5.0999999999999996" customHeight="1">
      <c r="B45" s="561"/>
      <c r="C45" s="562"/>
      <c r="D45" s="148"/>
      <c r="E45" s="148"/>
      <c r="F45" s="148"/>
      <c r="G45" s="148"/>
      <c r="H45" s="148"/>
      <c r="I45" s="148"/>
      <c r="J45" s="148"/>
      <c r="K45" s="148"/>
      <c r="L45" s="152"/>
      <c r="M45" s="470"/>
      <c r="N45" s="471"/>
      <c r="O45" s="471"/>
      <c r="P45" s="471"/>
      <c r="Q45" s="471"/>
      <c r="R45" s="471"/>
      <c r="S45" s="472"/>
      <c r="T45" s="450"/>
      <c r="U45" s="554"/>
      <c r="V45" s="550"/>
      <c r="W45" s="550"/>
      <c r="X45" s="550"/>
      <c r="Y45" s="551"/>
      <c r="Z45" s="385"/>
      <c r="AA45" s="376" t="s">
        <v>233</v>
      </c>
      <c r="AB45" s="377"/>
      <c r="AC45" s="377"/>
      <c r="AD45" s="377"/>
      <c r="AE45" s="377"/>
      <c r="AF45" s="377"/>
      <c r="AG45" s="378"/>
      <c r="AH45" s="445" t="s">
        <v>208</v>
      </c>
      <c r="AI45" s="446"/>
      <c r="AJ45" s="446"/>
      <c r="AK45" s="446"/>
      <c r="AL45" s="447"/>
      <c r="AM45" s="170"/>
      <c r="AN45" s="485"/>
      <c r="AO45" s="268"/>
      <c r="AP45" s="543"/>
      <c r="AQ45" s="543"/>
      <c r="AT45" s="393"/>
      <c r="AU45" s="393"/>
      <c r="AV45" s="393"/>
      <c r="AW45" s="393"/>
      <c r="AX45" s="393"/>
      <c r="AY45" s="393"/>
      <c r="AZ45" s="393"/>
      <c r="BA45" s="393"/>
      <c r="BB45" s="518"/>
      <c r="BC45" s="518"/>
      <c r="BD45" s="542"/>
      <c r="BG45" s="393"/>
      <c r="BH45" s="393"/>
      <c r="BI45" s="393"/>
      <c r="BJ45" s="393"/>
      <c r="BK45" s="393"/>
      <c r="BL45" s="393"/>
      <c r="BM45" s="393"/>
      <c r="BN45" s="393"/>
      <c r="BO45" s="515"/>
      <c r="BP45" s="518"/>
      <c r="BQ45" s="556"/>
      <c r="BR45" s="429"/>
      <c r="BS45" s="429"/>
      <c r="BT45" s="429"/>
      <c r="BU45" s="429"/>
      <c r="BV45" s="429"/>
      <c r="BW45" s="429"/>
      <c r="BX45" s="429"/>
      <c r="BY45" s="429"/>
      <c r="BZ45" s="429"/>
      <c r="CA45" s="429"/>
      <c r="CB45" s="429"/>
      <c r="CC45" s="429"/>
      <c r="CD45" s="61"/>
      <c r="CE45" s="61"/>
      <c r="CF45" s="61"/>
      <c r="CG45" s="61"/>
    </row>
    <row r="46" spans="1:85" ht="9.9" customHeight="1">
      <c r="B46" s="561"/>
      <c r="C46" s="562"/>
      <c r="D46" s="153"/>
      <c r="E46" s="153"/>
      <c r="F46" s="153"/>
      <c r="G46" s="153"/>
      <c r="H46" s="153"/>
      <c r="I46" s="153"/>
      <c r="J46" s="153"/>
      <c r="K46" s="153"/>
      <c r="L46" s="154"/>
      <c r="M46" s="473"/>
      <c r="N46" s="474"/>
      <c r="O46" s="474"/>
      <c r="P46" s="474"/>
      <c r="Q46" s="474"/>
      <c r="R46" s="474"/>
      <c r="S46" s="475"/>
      <c r="T46" s="450"/>
      <c r="U46" s="554"/>
      <c r="V46" s="550"/>
      <c r="W46" s="550"/>
      <c r="X46" s="550"/>
      <c r="Y46" s="551"/>
      <c r="Z46" s="385"/>
      <c r="AA46" s="379"/>
      <c r="AB46" s="380"/>
      <c r="AC46" s="380"/>
      <c r="AD46" s="380"/>
      <c r="AE46" s="380"/>
      <c r="AF46" s="380"/>
      <c r="AG46" s="381"/>
      <c r="AH46" s="448"/>
      <c r="AI46" s="438"/>
      <c r="AJ46" s="438"/>
      <c r="AK46" s="438"/>
      <c r="AL46" s="449"/>
      <c r="AM46" s="170"/>
      <c r="AN46" s="485"/>
      <c r="AO46" s="268"/>
      <c r="AP46" s="543"/>
      <c r="AQ46" s="543"/>
      <c r="AT46" s="393"/>
      <c r="AU46" s="393"/>
      <c r="AV46" s="393"/>
      <c r="AW46" s="393"/>
      <c r="AX46" s="393"/>
      <c r="AY46" s="393"/>
      <c r="AZ46" s="393"/>
      <c r="BA46" s="393"/>
      <c r="BB46" s="518"/>
      <c r="BC46" s="518"/>
      <c r="BD46" s="542"/>
      <c r="BG46" s="393"/>
      <c r="BH46" s="393"/>
      <c r="BI46" s="393"/>
      <c r="BJ46" s="393"/>
      <c r="BK46" s="393"/>
      <c r="BL46" s="393"/>
      <c r="BM46" s="393"/>
      <c r="BN46" s="393"/>
      <c r="BO46" s="515"/>
      <c r="BP46" s="518"/>
      <c r="BQ46" s="556"/>
      <c r="BR46" s="429"/>
      <c r="BS46" s="429"/>
      <c r="BT46" s="429"/>
      <c r="BU46" s="429"/>
      <c r="BV46" s="429"/>
      <c r="BW46" s="429"/>
      <c r="BX46" s="429"/>
      <c r="BY46" s="429"/>
      <c r="BZ46" s="429"/>
      <c r="CA46" s="429"/>
      <c r="CB46" s="429"/>
      <c r="CC46" s="429"/>
      <c r="CD46" s="61"/>
      <c r="CE46" s="61"/>
      <c r="CF46" s="61"/>
      <c r="CG46" s="61"/>
    </row>
    <row r="47" spans="1:85" ht="6" customHeight="1">
      <c r="B47" s="561"/>
      <c r="C47" s="562"/>
      <c r="D47" s="532" t="s">
        <v>65</v>
      </c>
      <c r="E47" s="504"/>
      <c r="F47" s="504"/>
      <c r="G47" s="504"/>
      <c r="H47" s="565"/>
      <c r="I47" s="500" t="s">
        <v>164</v>
      </c>
      <c r="J47" s="504"/>
      <c r="K47" s="504"/>
      <c r="L47" s="501"/>
      <c r="M47" s="532" t="s">
        <v>65</v>
      </c>
      <c r="N47" s="504"/>
      <c r="O47" s="504"/>
      <c r="P47" s="504"/>
      <c r="Q47" s="565"/>
      <c r="R47" s="500" t="s">
        <v>80</v>
      </c>
      <c r="S47" s="501"/>
      <c r="T47" s="450"/>
      <c r="U47" s="554"/>
      <c r="V47" s="504" t="s">
        <v>67</v>
      </c>
      <c r="W47" s="501"/>
      <c r="X47" s="532" t="s">
        <v>68</v>
      </c>
      <c r="Y47" s="501"/>
      <c r="Z47" s="385"/>
      <c r="AA47" s="379"/>
      <c r="AB47" s="380"/>
      <c r="AC47" s="380"/>
      <c r="AD47" s="380"/>
      <c r="AE47" s="380"/>
      <c r="AF47" s="380"/>
      <c r="AG47" s="381"/>
      <c r="AH47" s="450" t="s">
        <v>71</v>
      </c>
      <c r="AI47" s="451"/>
      <c r="AJ47" s="454" t="s">
        <v>166</v>
      </c>
      <c r="AK47" s="455"/>
      <c r="AL47" s="458" t="s">
        <v>72</v>
      </c>
      <c r="AM47" s="149"/>
      <c r="AN47" s="490" t="s">
        <v>96</v>
      </c>
      <c r="AO47" s="269"/>
      <c r="AP47" s="543"/>
      <c r="AQ47" s="543"/>
      <c r="AR47" s="392"/>
      <c r="AS47" s="392"/>
      <c r="AT47" s="393"/>
      <c r="AU47" s="393"/>
      <c r="AV47" s="393"/>
      <c r="AW47" s="393"/>
      <c r="AX47" s="393"/>
      <c r="AY47" s="393"/>
      <c r="AZ47" s="393"/>
      <c r="BA47" s="393"/>
      <c r="BB47" s="518"/>
      <c r="BC47" s="518"/>
      <c r="BD47" s="542"/>
      <c r="BE47" s="392"/>
      <c r="BF47" s="392"/>
      <c r="BG47" s="393"/>
      <c r="BH47" s="393"/>
      <c r="BI47" s="393"/>
      <c r="BJ47" s="393"/>
      <c r="BK47" s="393"/>
      <c r="BL47" s="393"/>
      <c r="BM47" s="393"/>
      <c r="BN47" s="393"/>
      <c r="BO47" s="515"/>
      <c r="BP47" s="518"/>
      <c r="BQ47" s="556"/>
      <c r="BR47" s="429"/>
      <c r="BS47" s="429"/>
      <c r="BT47" s="429"/>
      <c r="BU47" s="429"/>
      <c r="BV47" s="429"/>
      <c r="BW47" s="429"/>
      <c r="BX47" s="429"/>
      <c r="BY47" s="429"/>
      <c r="BZ47" s="429"/>
      <c r="CA47" s="429"/>
      <c r="CB47" s="429"/>
      <c r="CC47" s="429"/>
      <c r="CD47" s="61"/>
      <c r="CE47" s="61"/>
      <c r="CF47" s="61"/>
      <c r="CG47" s="61"/>
    </row>
    <row r="48" spans="1:85" ht="11.1" customHeight="1">
      <c r="B48" s="563"/>
      <c r="C48" s="564"/>
      <c r="D48" s="533"/>
      <c r="E48" s="505"/>
      <c r="F48" s="505"/>
      <c r="G48" s="505"/>
      <c r="H48" s="566"/>
      <c r="I48" s="502"/>
      <c r="J48" s="505"/>
      <c r="K48" s="505"/>
      <c r="L48" s="503"/>
      <c r="M48" s="533"/>
      <c r="N48" s="505"/>
      <c r="O48" s="505"/>
      <c r="P48" s="505"/>
      <c r="Q48" s="566"/>
      <c r="R48" s="502"/>
      <c r="S48" s="503"/>
      <c r="T48" s="452"/>
      <c r="U48" s="555"/>
      <c r="V48" s="505"/>
      <c r="W48" s="503"/>
      <c r="X48" s="533"/>
      <c r="Y48" s="503"/>
      <c r="Z48" s="385"/>
      <c r="AA48" s="382"/>
      <c r="AB48" s="383"/>
      <c r="AC48" s="383"/>
      <c r="AD48" s="383"/>
      <c r="AE48" s="383"/>
      <c r="AF48" s="383"/>
      <c r="AG48" s="384"/>
      <c r="AH48" s="452"/>
      <c r="AI48" s="453"/>
      <c r="AJ48" s="456"/>
      <c r="AK48" s="457"/>
      <c r="AL48" s="459"/>
      <c r="AM48" s="149"/>
      <c r="AN48" s="491"/>
      <c r="AO48" s="269"/>
      <c r="AP48" s="543"/>
      <c r="AQ48" s="543"/>
      <c r="AR48" s="392"/>
      <c r="AS48" s="392"/>
      <c r="AT48" s="393"/>
      <c r="AU48" s="393"/>
      <c r="AV48" s="393"/>
      <c r="AW48" s="393"/>
      <c r="AX48" s="393"/>
      <c r="AY48" s="393"/>
      <c r="AZ48" s="393"/>
      <c r="BA48" s="393"/>
      <c r="BB48" s="440" t="str">
        <f>IF(BB56="ALTEZZA",$D$61,IF(BB56="LARGHEZZA",$M$61,""))</f>
        <v/>
      </c>
      <c r="BC48" s="440"/>
      <c r="BD48" s="542"/>
      <c r="BE48" s="392"/>
      <c r="BF48" s="392"/>
      <c r="BG48" s="393"/>
      <c r="BH48" s="393"/>
      <c r="BI48" s="393"/>
      <c r="BJ48" s="393"/>
      <c r="BK48" s="393"/>
      <c r="BL48" s="393"/>
      <c r="BM48" s="393"/>
      <c r="BN48" s="393"/>
      <c r="BO48" s="519" t="str">
        <f>IF(BO56="ALTEZZA",$D$65,IF(BO56="LARGHEZZA",$M$65,""))</f>
        <v/>
      </c>
      <c r="BP48" s="440"/>
      <c r="BQ48" s="556"/>
      <c r="BR48" s="429"/>
      <c r="BS48" s="429"/>
      <c r="BT48" s="429"/>
      <c r="BU48" s="429"/>
      <c r="BV48" s="429"/>
      <c r="BW48" s="429"/>
      <c r="BX48" s="429"/>
      <c r="BY48" s="429"/>
      <c r="BZ48" s="429"/>
      <c r="CA48" s="429"/>
      <c r="CB48" s="429"/>
      <c r="CC48" s="429"/>
      <c r="CD48" s="61"/>
      <c r="CE48" s="61"/>
      <c r="CF48" s="61"/>
      <c r="CG48" s="61"/>
    </row>
    <row r="49" spans="1:85" ht="9" customHeight="1">
      <c r="A49" s="419" t="s">
        <v>8</v>
      </c>
      <c r="B49" s="407"/>
      <c r="C49" s="408"/>
      <c r="D49" s="413"/>
      <c r="E49" s="423"/>
      <c r="F49" s="423"/>
      <c r="G49" s="423"/>
      <c r="H49" s="414"/>
      <c r="I49" s="413"/>
      <c r="J49" s="414"/>
      <c r="K49" s="500"/>
      <c r="L49" s="501"/>
      <c r="M49" s="420"/>
      <c r="N49" s="423"/>
      <c r="O49" s="423"/>
      <c r="P49" s="423"/>
      <c r="Q49" s="414"/>
      <c r="R49" s="536"/>
      <c r="S49" s="537"/>
      <c r="T49" s="420"/>
      <c r="U49" s="414"/>
      <c r="V49" s="420"/>
      <c r="W49" s="414"/>
      <c r="X49" s="420"/>
      <c r="Y49" s="414"/>
      <c r="Z49" s="387" t="str">
        <f>IF($AW$35="","",$AW$35)</f>
        <v/>
      </c>
      <c r="AA49" s="190"/>
      <c r="AB49" s="147"/>
      <c r="AC49" s="147"/>
      <c r="AD49" s="147"/>
      <c r="AE49" s="147"/>
      <c r="AF49" s="147"/>
      <c r="AG49" s="191"/>
      <c r="AH49" s="146"/>
      <c r="AI49" s="146"/>
      <c r="AJ49" s="192"/>
      <c r="AK49" s="146"/>
      <c r="AL49" s="193"/>
      <c r="AM49" s="149"/>
      <c r="AN49" s="476">
        <f>IF(CARTELLINO!$AG$44&lt;&gt;"",CARTELLINO!$AG$44*2,"")</f>
        <v>0</v>
      </c>
      <c r="AO49" s="270"/>
      <c r="AP49" s="543"/>
      <c r="AQ49" s="543"/>
      <c r="AT49" s="393"/>
      <c r="AU49" s="393"/>
      <c r="AV49" s="393"/>
      <c r="AW49" s="393"/>
      <c r="AX49" s="393"/>
      <c r="AY49" s="393"/>
      <c r="AZ49" s="393"/>
      <c r="BA49" s="393"/>
      <c r="BB49" s="440"/>
      <c r="BC49" s="440"/>
      <c r="BD49" s="542"/>
      <c r="BG49" s="393"/>
      <c r="BH49" s="393"/>
      <c r="BI49" s="393"/>
      <c r="BJ49" s="393"/>
      <c r="BK49" s="393"/>
      <c r="BL49" s="393"/>
      <c r="BM49" s="393"/>
      <c r="BN49" s="393"/>
      <c r="BO49" s="519"/>
      <c r="BP49" s="440"/>
      <c r="BQ49" s="556"/>
      <c r="BR49" s="429"/>
      <c r="BS49" s="429"/>
      <c r="BT49" s="429"/>
      <c r="BU49" s="429"/>
      <c r="BV49" s="429"/>
      <c r="BW49" s="429"/>
      <c r="BX49" s="429"/>
      <c r="BY49" s="429"/>
      <c r="BZ49" s="429"/>
      <c r="CA49" s="429"/>
      <c r="CB49" s="429"/>
      <c r="CC49" s="429"/>
      <c r="CD49" s="61"/>
      <c r="CE49" s="61"/>
      <c r="CF49" s="61"/>
      <c r="CG49" s="61"/>
    </row>
    <row r="50" spans="1:85" ht="8.1" customHeight="1">
      <c r="A50" s="404"/>
      <c r="B50" s="409"/>
      <c r="C50" s="410"/>
      <c r="D50" s="415"/>
      <c r="E50" s="424"/>
      <c r="F50" s="424"/>
      <c r="G50" s="424"/>
      <c r="H50" s="416"/>
      <c r="I50" s="415"/>
      <c r="J50" s="416"/>
      <c r="K50" s="534"/>
      <c r="L50" s="535"/>
      <c r="M50" s="421"/>
      <c r="N50" s="424"/>
      <c r="O50" s="424"/>
      <c r="P50" s="424"/>
      <c r="Q50" s="416"/>
      <c r="R50" s="538"/>
      <c r="S50" s="539"/>
      <c r="T50" s="421"/>
      <c r="U50" s="416"/>
      <c r="V50" s="421"/>
      <c r="W50" s="416"/>
      <c r="X50" s="421"/>
      <c r="Y50" s="416"/>
      <c r="Z50" s="387"/>
      <c r="AA50" s="478"/>
      <c r="AB50" s="479"/>
      <c r="AC50" s="479"/>
      <c r="AD50" s="479"/>
      <c r="AE50" s="479"/>
      <c r="AF50" s="479"/>
      <c r="AG50" s="480"/>
      <c r="AH50" s="486"/>
      <c r="AI50" s="487"/>
      <c r="AJ50" s="486"/>
      <c r="AK50" s="487"/>
      <c r="AL50" s="492"/>
      <c r="AM50" s="149"/>
      <c r="AN50" s="477"/>
      <c r="AO50" s="267"/>
      <c r="AP50" s="543"/>
      <c r="AQ50" s="543"/>
      <c r="AR50" s="392"/>
      <c r="AS50" s="392"/>
      <c r="AT50" s="393"/>
      <c r="AU50" s="393"/>
      <c r="AV50" s="393"/>
      <c r="AW50" s="393"/>
      <c r="AX50" s="393"/>
      <c r="AY50" s="393"/>
      <c r="AZ50" s="393"/>
      <c r="BA50" s="393"/>
      <c r="BB50" s="440"/>
      <c r="BC50" s="440"/>
      <c r="BD50" s="542"/>
      <c r="BE50" s="392"/>
      <c r="BF50" s="392"/>
      <c r="BG50" s="393"/>
      <c r="BH50" s="393"/>
      <c r="BI50" s="393"/>
      <c r="BJ50" s="393"/>
      <c r="BK50" s="393"/>
      <c r="BL50" s="393"/>
      <c r="BM50" s="393"/>
      <c r="BN50" s="393"/>
      <c r="BO50" s="519"/>
      <c r="BP50" s="440"/>
      <c r="BQ50" s="556"/>
      <c r="BR50" s="429"/>
      <c r="BS50" s="429"/>
      <c r="BT50" s="429"/>
      <c r="BU50" s="429"/>
      <c r="BV50" s="429"/>
      <c r="BW50" s="429"/>
      <c r="BX50" s="429"/>
      <c r="BY50" s="429"/>
      <c r="BZ50" s="429"/>
      <c r="CA50" s="429"/>
      <c r="CB50" s="429"/>
      <c r="CC50" s="429"/>
      <c r="CD50" s="61"/>
      <c r="CE50" s="61"/>
      <c r="CF50" s="61"/>
      <c r="CG50" s="61"/>
    </row>
    <row r="51" spans="1:85" ht="6.9" customHeight="1">
      <c r="A51" s="404"/>
      <c r="B51" s="409"/>
      <c r="C51" s="410"/>
      <c r="D51" s="415"/>
      <c r="E51" s="424"/>
      <c r="F51" s="424"/>
      <c r="G51" s="424"/>
      <c r="H51" s="416"/>
      <c r="I51" s="415"/>
      <c r="J51" s="416"/>
      <c r="K51" s="534"/>
      <c r="L51" s="535"/>
      <c r="M51" s="421"/>
      <c r="N51" s="424"/>
      <c r="O51" s="424"/>
      <c r="P51" s="424"/>
      <c r="Q51" s="416"/>
      <c r="R51" s="538"/>
      <c r="S51" s="539"/>
      <c r="T51" s="421"/>
      <c r="U51" s="416"/>
      <c r="V51" s="421"/>
      <c r="W51" s="416"/>
      <c r="X51" s="421"/>
      <c r="Y51" s="416"/>
      <c r="Z51" s="387"/>
      <c r="AA51" s="478"/>
      <c r="AB51" s="479"/>
      <c r="AC51" s="479"/>
      <c r="AD51" s="479"/>
      <c r="AE51" s="479"/>
      <c r="AF51" s="479"/>
      <c r="AG51" s="480"/>
      <c r="AH51" s="486"/>
      <c r="AI51" s="487"/>
      <c r="AJ51" s="486"/>
      <c r="AK51" s="487"/>
      <c r="AL51" s="492"/>
      <c r="AM51" s="149"/>
      <c r="AN51" s="477"/>
      <c r="AO51" s="267"/>
      <c r="AP51" s="543"/>
      <c r="AQ51" s="543"/>
      <c r="AR51" s="392"/>
      <c r="AS51" s="392"/>
      <c r="AT51" s="393"/>
      <c r="AU51" s="393"/>
      <c r="AV51" s="393"/>
      <c r="AW51" s="393"/>
      <c r="AX51" s="393"/>
      <c r="AY51" s="393"/>
      <c r="AZ51" s="393"/>
      <c r="BA51" s="393"/>
      <c r="BB51" s="440"/>
      <c r="BC51" s="440"/>
      <c r="BD51" s="542"/>
      <c r="BE51" s="392"/>
      <c r="BF51" s="392"/>
      <c r="BG51" s="393"/>
      <c r="BH51" s="393"/>
      <c r="BI51" s="393"/>
      <c r="BJ51" s="393"/>
      <c r="BK51" s="393"/>
      <c r="BL51" s="393"/>
      <c r="BM51" s="393"/>
      <c r="BN51" s="393"/>
      <c r="BO51" s="519"/>
      <c r="BP51" s="440"/>
      <c r="BQ51" s="556"/>
      <c r="BR51" s="429"/>
      <c r="BS51" s="429"/>
      <c r="BT51" s="429"/>
      <c r="BU51" s="429"/>
      <c r="BV51" s="429"/>
      <c r="BW51" s="429"/>
      <c r="BX51" s="429"/>
      <c r="BY51" s="429"/>
      <c r="BZ51" s="429"/>
      <c r="CA51" s="429"/>
      <c r="CB51" s="429"/>
      <c r="CC51" s="429"/>
      <c r="CD51" s="61"/>
      <c r="CE51" s="61"/>
      <c r="CF51" s="61"/>
      <c r="CG51" s="61"/>
    </row>
    <row r="52" spans="1:85" ht="8.1" customHeight="1">
      <c r="A52" s="405"/>
      <c r="B52" s="411"/>
      <c r="C52" s="412"/>
      <c r="D52" s="417"/>
      <c r="E52" s="425"/>
      <c r="F52" s="425"/>
      <c r="G52" s="425"/>
      <c r="H52" s="418"/>
      <c r="I52" s="417"/>
      <c r="J52" s="418"/>
      <c r="K52" s="534"/>
      <c r="L52" s="535"/>
      <c r="M52" s="422"/>
      <c r="N52" s="425"/>
      <c r="O52" s="425"/>
      <c r="P52" s="425"/>
      <c r="Q52" s="418"/>
      <c r="R52" s="540"/>
      <c r="S52" s="541"/>
      <c r="T52" s="422"/>
      <c r="U52" s="418"/>
      <c r="V52" s="422"/>
      <c r="W52" s="418"/>
      <c r="X52" s="422"/>
      <c r="Y52" s="418"/>
      <c r="Z52" s="387"/>
      <c r="AA52" s="481"/>
      <c r="AB52" s="482"/>
      <c r="AC52" s="482"/>
      <c r="AD52" s="482"/>
      <c r="AE52" s="482"/>
      <c r="AF52" s="482"/>
      <c r="AG52" s="483"/>
      <c r="AH52" s="488"/>
      <c r="AI52" s="489"/>
      <c r="AJ52" s="488"/>
      <c r="AK52" s="489"/>
      <c r="AL52" s="493"/>
      <c r="AM52" s="149"/>
      <c r="AN52" s="477"/>
      <c r="AO52" s="267"/>
      <c r="AP52" s="543"/>
      <c r="AQ52" s="543"/>
      <c r="AT52" s="393"/>
      <c r="AU52" s="393"/>
      <c r="AV52" s="393"/>
      <c r="AW52" s="393"/>
      <c r="AX52" s="393"/>
      <c r="AY52" s="393"/>
      <c r="AZ52" s="393"/>
      <c r="BA52" s="393"/>
      <c r="BB52" s="440"/>
      <c r="BC52" s="440"/>
      <c r="BD52" s="542"/>
      <c r="BG52" s="393"/>
      <c r="BH52" s="393"/>
      <c r="BI52" s="393"/>
      <c r="BJ52" s="393"/>
      <c r="BK52" s="393"/>
      <c r="BL52" s="393"/>
      <c r="BM52" s="393"/>
      <c r="BN52" s="393"/>
      <c r="BO52" s="519"/>
      <c r="BP52" s="440"/>
      <c r="BQ52" s="556"/>
      <c r="BR52" s="429"/>
      <c r="BS52" s="429"/>
      <c r="BT52" s="429"/>
      <c r="BU52" s="429"/>
      <c r="BV52" s="429"/>
      <c r="BW52" s="429"/>
      <c r="BX52" s="429"/>
      <c r="BY52" s="429"/>
      <c r="BZ52" s="429"/>
      <c r="CA52" s="429"/>
      <c r="CB52" s="429"/>
      <c r="CC52" s="429"/>
      <c r="CD52" s="61"/>
      <c r="CE52" s="61"/>
      <c r="CF52" s="61"/>
      <c r="CG52" s="61"/>
    </row>
    <row r="53" spans="1:85" ht="5.0999999999999996" customHeight="1">
      <c r="A53" s="403" t="s">
        <v>10</v>
      </c>
      <c r="B53" s="407"/>
      <c r="C53" s="408"/>
      <c r="D53" s="413"/>
      <c r="E53" s="423"/>
      <c r="F53" s="423"/>
      <c r="G53" s="423"/>
      <c r="H53" s="414"/>
      <c r="I53" s="413"/>
      <c r="J53" s="414"/>
      <c r="K53" s="534"/>
      <c r="L53" s="535"/>
      <c r="M53" s="420"/>
      <c r="N53" s="423"/>
      <c r="O53" s="423"/>
      <c r="P53" s="423"/>
      <c r="Q53" s="414"/>
      <c r="R53" s="413"/>
      <c r="S53" s="414"/>
      <c r="T53" s="420"/>
      <c r="U53" s="414"/>
      <c r="V53" s="420"/>
      <c r="W53" s="414"/>
      <c r="X53" s="420"/>
      <c r="Y53" s="414"/>
      <c r="Z53" s="387" t="str">
        <f>IF($BJ$35="","",$BJ$35)</f>
        <v/>
      </c>
      <c r="AA53" s="194"/>
      <c r="AB53" s="195"/>
      <c r="AC53" s="195"/>
      <c r="AD53" s="195"/>
      <c r="AE53" s="195"/>
      <c r="AF53" s="195"/>
      <c r="AG53" s="196"/>
      <c r="AH53" s="146"/>
      <c r="AI53" s="146"/>
      <c r="AJ53" s="192"/>
      <c r="AK53" s="146"/>
      <c r="AL53" s="193"/>
      <c r="AM53" s="149"/>
      <c r="AN53" s="476">
        <f>IF(CARTELLINO!$AG$45&lt;&gt;"",CARTELLINO!$AG$45*2,"")</f>
        <v>0</v>
      </c>
      <c r="AO53" s="270"/>
      <c r="AP53" s="543"/>
      <c r="AQ53" s="543"/>
      <c r="AT53" s="393"/>
      <c r="AU53" s="393"/>
      <c r="AV53" s="393"/>
      <c r="AW53" s="393"/>
      <c r="AX53" s="393"/>
      <c r="AY53" s="393"/>
      <c r="AZ53" s="393"/>
      <c r="BA53" s="393"/>
      <c r="BB53" s="440"/>
      <c r="BC53" s="440"/>
      <c r="BD53" s="542"/>
      <c r="BG53" s="393"/>
      <c r="BH53" s="393"/>
      <c r="BI53" s="393"/>
      <c r="BJ53" s="393"/>
      <c r="BK53" s="393"/>
      <c r="BL53" s="393"/>
      <c r="BM53" s="393"/>
      <c r="BN53" s="393"/>
      <c r="BO53" s="519"/>
      <c r="BP53" s="440"/>
      <c r="BQ53" s="556"/>
      <c r="BR53" s="429"/>
      <c r="BS53" s="429"/>
      <c r="BT53" s="429"/>
      <c r="BU53" s="429"/>
      <c r="BV53" s="429"/>
      <c r="BW53" s="429"/>
      <c r="BX53" s="429"/>
      <c r="BY53" s="429"/>
      <c r="BZ53" s="429"/>
      <c r="CA53" s="429"/>
      <c r="CB53" s="429"/>
      <c r="CC53" s="429"/>
      <c r="CD53" s="61"/>
      <c r="CE53" s="61"/>
      <c r="CF53" s="61"/>
      <c r="CG53" s="61"/>
    </row>
    <row r="54" spans="1:85" ht="9.9" customHeight="1">
      <c r="A54" s="404"/>
      <c r="B54" s="409"/>
      <c r="C54" s="410"/>
      <c r="D54" s="415"/>
      <c r="E54" s="424"/>
      <c r="F54" s="424"/>
      <c r="G54" s="424"/>
      <c r="H54" s="416"/>
      <c r="I54" s="415"/>
      <c r="J54" s="416"/>
      <c r="K54" s="534"/>
      <c r="L54" s="535"/>
      <c r="M54" s="421"/>
      <c r="N54" s="424"/>
      <c r="O54" s="424"/>
      <c r="P54" s="424"/>
      <c r="Q54" s="416"/>
      <c r="R54" s="415"/>
      <c r="S54" s="416"/>
      <c r="T54" s="421"/>
      <c r="U54" s="416"/>
      <c r="V54" s="421"/>
      <c r="W54" s="416"/>
      <c r="X54" s="421"/>
      <c r="Y54" s="416"/>
      <c r="Z54" s="387"/>
      <c r="AA54" s="478"/>
      <c r="AB54" s="479"/>
      <c r="AC54" s="479"/>
      <c r="AD54" s="479"/>
      <c r="AE54" s="479"/>
      <c r="AF54" s="479"/>
      <c r="AG54" s="480"/>
      <c r="AH54" s="486"/>
      <c r="AI54" s="487"/>
      <c r="AJ54" s="486"/>
      <c r="AK54" s="487"/>
      <c r="AL54" s="492"/>
      <c r="AM54" s="149"/>
      <c r="AN54" s="477"/>
      <c r="AO54" s="267"/>
      <c r="AP54" s="543"/>
      <c r="AQ54" s="543"/>
      <c r="AR54" s="392"/>
      <c r="AS54" s="392"/>
      <c r="AT54" s="393"/>
      <c r="AU54" s="393"/>
      <c r="AV54" s="393"/>
      <c r="AW54" s="393"/>
      <c r="AX54" s="393"/>
      <c r="AY54" s="393"/>
      <c r="AZ54" s="557"/>
      <c r="BA54" s="393"/>
      <c r="BB54" s="440"/>
      <c r="BC54" s="440"/>
      <c r="BD54" s="542"/>
      <c r="BE54" s="392"/>
      <c r="BF54" s="392"/>
      <c r="BG54" s="393"/>
      <c r="BH54" s="393"/>
      <c r="BI54" s="393"/>
      <c r="BJ54" s="393"/>
      <c r="BK54" s="393"/>
      <c r="BL54" s="393"/>
      <c r="BM54" s="557"/>
      <c r="BN54" s="393"/>
      <c r="BO54" s="519"/>
      <c r="BP54" s="440"/>
      <c r="BQ54" s="556"/>
      <c r="BR54" s="429"/>
      <c r="BS54" s="429"/>
      <c r="BT54" s="429"/>
      <c r="BU54" s="429"/>
      <c r="BV54" s="429"/>
      <c r="BW54" s="429"/>
      <c r="BX54" s="429"/>
      <c r="BY54" s="429"/>
      <c r="BZ54" s="429"/>
      <c r="CA54" s="429"/>
      <c r="CB54" s="429"/>
      <c r="CC54" s="429"/>
      <c r="CD54" s="61"/>
      <c r="CE54" s="61"/>
      <c r="CF54" s="61"/>
      <c r="CG54" s="61"/>
    </row>
    <row r="55" spans="1:85" ht="5.0999999999999996" customHeight="1">
      <c r="A55" s="404"/>
      <c r="B55" s="409"/>
      <c r="C55" s="410"/>
      <c r="D55" s="415"/>
      <c r="E55" s="424"/>
      <c r="F55" s="424"/>
      <c r="G55" s="424"/>
      <c r="H55" s="416"/>
      <c r="I55" s="415"/>
      <c r="J55" s="416"/>
      <c r="K55" s="534"/>
      <c r="L55" s="535"/>
      <c r="M55" s="421"/>
      <c r="N55" s="424"/>
      <c r="O55" s="424"/>
      <c r="P55" s="424"/>
      <c r="Q55" s="416"/>
      <c r="R55" s="415"/>
      <c r="S55" s="416"/>
      <c r="T55" s="421"/>
      <c r="U55" s="416"/>
      <c r="V55" s="421"/>
      <c r="W55" s="416"/>
      <c r="X55" s="421"/>
      <c r="Y55" s="416"/>
      <c r="Z55" s="387"/>
      <c r="AA55" s="478"/>
      <c r="AB55" s="479"/>
      <c r="AC55" s="479"/>
      <c r="AD55" s="479"/>
      <c r="AE55" s="479"/>
      <c r="AF55" s="479"/>
      <c r="AG55" s="480"/>
      <c r="AH55" s="486"/>
      <c r="AI55" s="487"/>
      <c r="AJ55" s="486"/>
      <c r="AK55" s="487"/>
      <c r="AL55" s="492"/>
      <c r="AM55" s="149"/>
      <c r="AN55" s="477"/>
      <c r="AO55" s="267"/>
      <c r="AP55" s="543"/>
      <c r="AQ55" s="543"/>
      <c r="AR55" s="392"/>
      <c r="AS55" s="392"/>
      <c r="AT55" s="393"/>
      <c r="AU55" s="393"/>
      <c r="AV55" s="393"/>
      <c r="AW55" s="393"/>
      <c r="AX55" s="393"/>
      <c r="AY55" s="393"/>
      <c r="AZ55" s="557"/>
      <c r="BA55" s="393"/>
      <c r="BB55" s="440"/>
      <c r="BC55" s="440"/>
      <c r="BD55" s="542"/>
      <c r="BE55" s="392"/>
      <c r="BF55" s="392"/>
      <c r="BG55" s="393"/>
      <c r="BH55" s="393"/>
      <c r="BI55" s="393"/>
      <c r="BJ55" s="393"/>
      <c r="BK55" s="393"/>
      <c r="BL55" s="393"/>
      <c r="BM55" s="557"/>
      <c r="BN55" s="393"/>
      <c r="BO55" s="519"/>
      <c r="BP55" s="440"/>
      <c r="BQ55" s="556"/>
      <c r="BR55" s="429"/>
      <c r="BS55" s="429"/>
      <c r="BT55" s="429"/>
      <c r="BU55" s="429"/>
      <c r="BV55" s="429"/>
      <c r="BW55" s="429"/>
      <c r="BX55" s="429"/>
      <c r="BY55" s="429"/>
      <c r="BZ55" s="429"/>
      <c r="CA55" s="429"/>
      <c r="CB55" s="429"/>
      <c r="CC55" s="429"/>
      <c r="CD55" s="61"/>
      <c r="CE55" s="61"/>
      <c r="CF55" s="61"/>
      <c r="CG55" s="61"/>
    </row>
    <row r="56" spans="1:85" ht="9.9" customHeight="1">
      <c r="A56" s="405"/>
      <c r="B56" s="411"/>
      <c r="C56" s="412"/>
      <c r="D56" s="417"/>
      <c r="E56" s="425"/>
      <c r="F56" s="425"/>
      <c r="G56" s="425"/>
      <c r="H56" s="418"/>
      <c r="I56" s="417"/>
      <c r="J56" s="418"/>
      <c r="K56" s="534"/>
      <c r="L56" s="535"/>
      <c r="M56" s="422"/>
      <c r="N56" s="425"/>
      <c r="O56" s="425"/>
      <c r="P56" s="425"/>
      <c r="Q56" s="418"/>
      <c r="R56" s="417"/>
      <c r="S56" s="418"/>
      <c r="T56" s="422"/>
      <c r="U56" s="418"/>
      <c r="V56" s="422"/>
      <c r="W56" s="418"/>
      <c r="X56" s="422"/>
      <c r="Y56" s="418"/>
      <c r="Z56" s="387"/>
      <c r="AA56" s="481"/>
      <c r="AB56" s="482"/>
      <c r="AC56" s="482"/>
      <c r="AD56" s="482"/>
      <c r="AE56" s="482"/>
      <c r="AF56" s="482"/>
      <c r="AG56" s="483"/>
      <c r="AH56" s="488"/>
      <c r="AI56" s="489"/>
      <c r="AJ56" s="488"/>
      <c r="AK56" s="489"/>
      <c r="AL56" s="493"/>
      <c r="AM56" s="149"/>
      <c r="AN56" s="477"/>
      <c r="AO56" s="267"/>
      <c r="AP56" s="543"/>
      <c r="AQ56" s="543"/>
      <c r="AT56" s="393"/>
      <c r="AU56" s="393"/>
      <c r="AV56" s="393"/>
      <c r="AW56" s="393"/>
      <c r="AX56" s="393"/>
      <c r="AY56" s="393"/>
      <c r="AZ56" s="557"/>
      <c r="BA56" s="393"/>
      <c r="BB56" s="439" t="str">
        <f>IF($B$61="","",IF($R$61&lt;&gt;"","LARGHEZZA","ALTEZZA"))</f>
        <v/>
      </c>
      <c r="BC56" s="439"/>
      <c r="BD56" s="542"/>
      <c r="BG56" s="393"/>
      <c r="BH56" s="393"/>
      <c r="BI56" s="393"/>
      <c r="BJ56" s="393"/>
      <c r="BK56" s="393"/>
      <c r="BL56" s="393"/>
      <c r="BM56" s="557"/>
      <c r="BN56" s="393"/>
      <c r="BO56" s="513" t="str">
        <f>IF($B$65="","",IF($R$65&lt;&gt;"","LARGHEZZA","ALTEZZA"))</f>
        <v/>
      </c>
      <c r="BP56" s="439"/>
      <c r="BQ56" s="556"/>
      <c r="BR56" s="429"/>
      <c r="BS56" s="429"/>
      <c r="BT56" s="429"/>
      <c r="BU56" s="429"/>
      <c r="BV56" s="429"/>
      <c r="BW56" s="429"/>
      <c r="BX56" s="429"/>
      <c r="BY56" s="429"/>
      <c r="BZ56" s="429"/>
      <c r="CA56" s="429"/>
      <c r="CB56" s="429"/>
      <c r="CC56" s="429"/>
      <c r="CD56" s="61"/>
      <c r="CE56" s="61"/>
      <c r="CF56" s="61"/>
      <c r="CG56" s="61"/>
    </row>
    <row r="57" spans="1:85" ht="5.0999999999999996" customHeight="1">
      <c r="A57" s="403" t="s">
        <v>11</v>
      </c>
      <c r="B57" s="407"/>
      <c r="C57" s="408"/>
      <c r="D57" s="413"/>
      <c r="E57" s="423"/>
      <c r="F57" s="423"/>
      <c r="G57" s="423"/>
      <c r="H57" s="414"/>
      <c r="I57" s="413"/>
      <c r="J57" s="414"/>
      <c r="K57" s="534"/>
      <c r="L57" s="535"/>
      <c r="M57" s="420"/>
      <c r="N57" s="423"/>
      <c r="O57" s="423"/>
      <c r="P57" s="423"/>
      <c r="Q57" s="414"/>
      <c r="R57" s="413"/>
      <c r="S57" s="414"/>
      <c r="T57" s="420"/>
      <c r="U57" s="414"/>
      <c r="V57" s="420"/>
      <c r="W57" s="414"/>
      <c r="X57" s="420"/>
      <c r="Y57" s="414"/>
      <c r="Z57" s="387" t="str">
        <f>IF($BW$35="","",$BW$35)</f>
        <v/>
      </c>
      <c r="AA57" s="194"/>
      <c r="AB57" s="195"/>
      <c r="AC57" s="195"/>
      <c r="AD57" s="195"/>
      <c r="AE57" s="195"/>
      <c r="AF57" s="195"/>
      <c r="AG57" s="196"/>
      <c r="AH57" s="146"/>
      <c r="AI57" s="146"/>
      <c r="AJ57" s="192"/>
      <c r="AK57" s="146"/>
      <c r="AL57" s="193"/>
      <c r="AM57" s="149"/>
      <c r="AN57" s="476">
        <f>IF(CARTELLINO!$AG$46&lt;&gt;"",CARTELLINO!$AG$46*2,"")</f>
        <v>0</v>
      </c>
      <c r="AO57" s="270"/>
      <c r="AP57" s="543"/>
      <c r="AQ57" s="543"/>
      <c r="AT57" s="393"/>
      <c r="AU57" s="393"/>
      <c r="AV57" s="393"/>
      <c r="AW57" s="393"/>
      <c r="AX57" s="393"/>
      <c r="AY57" s="393"/>
      <c r="AZ57" s="557"/>
      <c r="BA57" s="393"/>
      <c r="BB57" s="439"/>
      <c r="BC57" s="439"/>
      <c r="BD57" s="542"/>
      <c r="BG57" s="393"/>
      <c r="BH57" s="393"/>
      <c r="BI57" s="393"/>
      <c r="BJ57" s="393"/>
      <c r="BK57" s="393"/>
      <c r="BL57" s="393"/>
      <c r="BM57" s="557"/>
      <c r="BN57" s="393"/>
      <c r="BO57" s="513"/>
      <c r="BP57" s="439"/>
      <c r="BQ57" s="556"/>
      <c r="BR57" s="429"/>
      <c r="BS57" s="429"/>
      <c r="BT57" s="429"/>
      <c r="BU57" s="429"/>
      <c r="BV57" s="429"/>
      <c r="BW57" s="429"/>
      <c r="BX57" s="429"/>
      <c r="BY57" s="429"/>
      <c r="BZ57" s="429"/>
      <c r="CA57" s="429"/>
      <c r="CB57" s="429"/>
      <c r="CC57" s="429"/>
      <c r="CD57" s="61"/>
      <c r="CE57" s="61"/>
      <c r="CF57" s="61"/>
      <c r="CG57" s="61"/>
    </row>
    <row r="58" spans="1:85" ht="9.9" customHeight="1">
      <c r="A58" s="404"/>
      <c r="B58" s="409"/>
      <c r="C58" s="410"/>
      <c r="D58" s="415"/>
      <c r="E58" s="424"/>
      <c r="F58" s="424"/>
      <c r="G58" s="424"/>
      <c r="H58" s="416"/>
      <c r="I58" s="415"/>
      <c r="J58" s="416"/>
      <c r="K58" s="534"/>
      <c r="L58" s="535"/>
      <c r="M58" s="421"/>
      <c r="N58" s="424"/>
      <c r="O58" s="424"/>
      <c r="P58" s="424"/>
      <c r="Q58" s="416"/>
      <c r="R58" s="415"/>
      <c r="S58" s="416"/>
      <c r="T58" s="421"/>
      <c r="U58" s="416"/>
      <c r="V58" s="421"/>
      <c r="W58" s="416"/>
      <c r="X58" s="421"/>
      <c r="Y58" s="416"/>
      <c r="Z58" s="387"/>
      <c r="AA58" s="478"/>
      <c r="AB58" s="479"/>
      <c r="AC58" s="479"/>
      <c r="AD58" s="479"/>
      <c r="AE58" s="479"/>
      <c r="AF58" s="479"/>
      <c r="AG58" s="480"/>
      <c r="AH58" s="486"/>
      <c r="AI58" s="487"/>
      <c r="AJ58" s="486"/>
      <c r="AK58" s="487"/>
      <c r="AL58" s="492"/>
      <c r="AM58" s="149"/>
      <c r="AN58" s="477"/>
      <c r="AO58" s="267"/>
      <c r="AP58" s="543"/>
      <c r="AQ58" s="543"/>
      <c r="AR58" s="392"/>
      <c r="AS58" s="392"/>
      <c r="AT58" s="393"/>
      <c r="AU58" s="393"/>
      <c r="AV58" s="393"/>
      <c r="AW58" s="393"/>
      <c r="AX58" s="393"/>
      <c r="AY58" s="393"/>
      <c r="AZ58" s="436"/>
      <c r="BA58" s="393"/>
      <c r="BB58" s="439"/>
      <c r="BC58" s="439"/>
      <c r="BD58" s="542"/>
      <c r="BE58" s="392"/>
      <c r="BF58" s="392"/>
      <c r="BG58" s="393"/>
      <c r="BH58" s="393"/>
      <c r="BI58" s="393"/>
      <c r="BJ58" s="393"/>
      <c r="BK58" s="393"/>
      <c r="BL58" s="393"/>
      <c r="BM58" s="436"/>
      <c r="BN58" s="393"/>
      <c r="BO58" s="513"/>
      <c r="BP58" s="439"/>
      <c r="BQ58" s="556"/>
      <c r="BR58" s="429"/>
      <c r="BS58" s="429"/>
      <c r="BT58" s="429"/>
      <c r="BU58" s="429"/>
      <c r="BV58" s="429"/>
      <c r="BW58" s="429"/>
      <c r="BX58" s="429"/>
      <c r="BY58" s="429"/>
      <c r="BZ58" s="429"/>
      <c r="CA58" s="429"/>
      <c r="CB58" s="429"/>
      <c r="CC58" s="429"/>
      <c r="CD58" s="61"/>
      <c r="CE58" s="61"/>
      <c r="CF58" s="61"/>
      <c r="CG58" s="61"/>
    </row>
    <row r="59" spans="1:85" ht="5.0999999999999996" customHeight="1">
      <c r="A59" s="404"/>
      <c r="B59" s="409"/>
      <c r="C59" s="410"/>
      <c r="D59" s="415"/>
      <c r="E59" s="424"/>
      <c r="F59" s="424"/>
      <c r="G59" s="424"/>
      <c r="H59" s="416"/>
      <c r="I59" s="415"/>
      <c r="J59" s="416"/>
      <c r="K59" s="534"/>
      <c r="L59" s="535"/>
      <c r="M59" s="421"/>
      <c r="N59" s="424"/>
      <c r="O59" s="424"/>
      <c r="P59" s="424"/>
      <c r="Q59" s="416"/>
      <c r="R59" s="415"/>
      <c r="S59" s="416"/>
      <c r="T59" s="421"/>
      <c r="U59" s="416"/>
      <c r="V59" s="421"/>
      <c r="W59" s="416"/>
      <c r="X59" s="421"/>
      <c r="Y59" s="416"/>
      <c r="Z59" s="387"/>
      <c r="AA59" s="478"/>
      <c r="AB59" s="479"/>
      <c r="AC59" s="479"/>
      <c r="AD59" s="479"/>
      <c r="AE59" s="479"/>
      <c r="AF59" s="479"/>
      <c r="AG59" s="480"/>
      <c r="AH59" s="486"/>
      <c r="AI59" s="487"/>
      <c r="AJ59" s="486"/>
      <c r="AK59" s="487"/>
      <c r="AL59" s="492"/>
      <c r="AM59" s="149"/>
      <c r="AN59" s="477"/>
      <c r="AO59" s="267"/>
      <c r="AP59" s="543"/>
      <c r="AQ59" s="543"/>
      <c r="AR59" s="392"/>
      <c r="AS59" s="392"/>
      <c r="AT59" s="393"/>
      <c r="AU59" s="393"/>
      <c r="AV59" s="393"/>
      <c r="AW59" s="393"/>
      <c r="AX59" s="393"/>
      <c r="AY59" s="393"/>
      <c r="AZ59" s="437"/>
      <c r="BA59" s="393"/>
      <c r="BB59" s="439"/>
      <c r="BC59" s="439"/>
      <c r="BD59" s="542"/>
      <c r="BE59" s="392"/>
      <c r="BF59" s="392"/>
      <c r="BG59" s="393"/>
      <c r="BH59" s="393"/>
      <c r="BI59" s="393"/>
      <c r="BJ59" s="393"/>
      <c r="BK59" s="393"/>
      <c r="BL59" s="393"/>
      <c r="BM59" s="437"/>
      <c r="BN59" s="393"/>
      <c r="BO59" s="513"/>
      <c r="BP59" s="439"/>
      <c r="BQ59" s="556"/>
      <c r="BR59" s="429"/>
      <c r="BS59" s="429"/>
      <c r="BT59" s="429"/>
      <c r="BU59" s="429"/>
      <c r="BV59" s="429"/>
      <c r="BW59" s="429"/>
      <c r="BX59" s="429"/>
      <c r="BY59" s="429"/>
      <c r="BZ59" s="429"/>
      <c r="CA59" s="429"/>
      <c r="CB59" s="429"/>
      <c r="CC59" s="429"/>
      <c r="CD59" s="61"/>
      <c r="CE59" s="61"/>
      <c r="CF59" s="61"/>
      <c r="CG59" s="61"/>
    </row>
    <row r="60" spans="1:85" ht="9.9" customHeight="1">
      <c r="A60" s="405"/>
      <c r="B60" s="411"/>
      <c r="C60" s="412"/>
      <c r="D60" s="417"/>
      <c r="E60" s="425"/>
      <c r="F60" s="425"/>
      <c r="G60" s="425"/>
      <c r="H60" s="418"/>
      <c r="I60" s="417"/>
      <c r="J60" s="418"/>
      <c r="K60" s="534"/>
      <c r="L60" s="535"/>
      <c r="M60" s="422"/>
      <c r="N60" s="425"/>
      <c r="O60" s="425"/>
      <c r="P60" s="425"/>
      <c r="Q60" s="418"/>
      <c r="R60" s="417"/>
      <c r="S60" s="418"/>
      <c r="T60" s="422"/>
      <c r="U60" s="418"/>
      <c r="V60" s="422"/>
      <c r="W60" s="418"/>
      <c r="X60" s="422"/>
      <c r="Y60" s="418"/>
      <c r="Z60" s="387"/>
      <c r="AA60" s="481"/>
      <c r="AB60" s="482"/>
      <c r="AC60" s="482"/>
      <c r="AD60" s="482"/>
      <c r="AE60" s="482"/>
      <c r="AF60" s="482"/>
      <c r="AG60" s="483"/>
      <c r="AH60" s="488"/>
      <c r="AI60" s="489"/>
      <c r="AJ60" s="488"/>
      <c r="AK60" s="489"/>
      <c r="AL60" s="493"/>
      <c r="AM60" s="149"/>
      <c r="AN60" s="477"/>
      <c r="AO60" s="267"/>
      <c r="AP60" s="543"/>
      <c r="AQ60" s="543"/>
      <c r="AT60" s="393"/>
      <c r="AU60" s="393"/>
      <c r="AV60" s="393"/>
      <c r="AW60" s="393"/>
      <c r="AX60" s="393"/>
      <c r="AY60" s="393"/>
      <c r="AZ60" s="437"/>
      <c r="BA60" s="393"/>
      <c r="BB60" s="439"/>
      <c r="BC60" s="439"/>
      <c r="BD60" s="542"/>
      <c r="BG60" s="393"/>
      <c r="BH60" s="393"/>
      <c r="BI60" s="393"/>
      <c r="BJ60" s="393"/>
      <c r="BK60" s="393"/>
      <c r="BL60" s="393"/>
      <c r="BM60" s="437"/>
      <c r="BN60" s="393"/>
      <c r="BO60" s="513"/>
      <c r="BP60" s="439"/>
      <c r="BQ60" s="556"/>
      <c r="BR60" s="429"/>
      <c r="BS60" s="429"/>
      <c r="BT60" s="429"/>
      <c r="BU60" s="429"/>
      <c r="BV60" s="429"/>
      <c r="BW60" s="429"/>
      <c r="BX60" s="429"/>
      <c r="BY60" s="429"/>
      <c r="BZ60" s="429"/>
      <c r="CA60" s="429"/>
      <c r="CB60" s="429"/>
      <c r="CC60" s="429"/>
      <c r="CD60" s="61"/>
      <c r="CE60" s="61"/>
      <c r="CF60" s="61"/>
      <c r="CG60" s="61"/>
    </row>
    <row r="61" spans="1:85" ht="5.0999999999999996" customHeight="1">
      <c r="A61" s="403" t="s">
        <v>9</v>
      </c>
      <c r="B61" s="407"/>
      <c r="C61" s="408"/>
      <c r="D61" s="413"/>
      <c r="E61" s="423"/>
      <c r="F61" s="423"/>
      <c r="G61" s="423"/>
      <c r="H61" s="414"/>
      <c r="I61" s="413"/>
      <c r="J61" s="414"/>
      <c r="K61" s="534"/>
      <c r="L61" s="535"/>
      <c r="M61" s="420"/>
      <c r="N61" s="423"/>
      <c r="O61" s="423"/>
      <c r="P61" s="423"/>
      <c r="Q61" s="414"/>
      <c r="R61" s="413"/>
      <c r="S61" s="414"/>
      <c r="T61" s="420"/>
      <c r="U61" s="414"/>
      <c r="V61" s="420"/>
      <c r="W61" s="414"/>
      <c r="X61" s="420"/>
      <c r="Y61" s="414"/>
      <c r="Z61" s="387" t="str">
        <f>IF($AW$71="","",$AW$71)</f>
        <v/>
      </c>
      <c r="AA61" s="194"/>
      <c r="AB61" s="195"/>
      <c r="AC61" s="195"/>
      <c r="AD61" s="195"/>
      <c r="AE61" s="195"/>
      <c r="AF61" s="195"/>
      <c r="AG61" s="196"/>
      <c r="AH61" s="146"/>
      <c r="AI61" s="146"/>
      <c r="AJ61" s="192"/>
      <c r="AK61" s="146"/>
      <c r="AL61" s="193"/>
      <c r="AM61" s="149"/>
      <c r="AN61" s="476">
        <f>IF(CARTELLINO!$AG$47&lt;&gt;"",CARTELLINO!$AG$47*2,"")</f>
        <v>0</v>
      </c>
      <c r="AO61" s="270"/>
      <c r="AP61" s="543"/>
      <c r="AQ61" s="543"/>
      <c r="AR61" s="392"/>
      <c r="AS61" s="392"/>
      <c r="AT61" s="393"/>
      <c r="AU61" s="393"/>
      <c r="AV61" s="393"/>
      <c r="AW61" s="393"/>
      <c r="AX61" s="393"/>
      <c r="AY61" s="393"/>
      <c r="AZ61" s="437"/>
      <c r="BA61" s="393"/>
      <c r="BB61" s="439"/>
      <c r="BC61" s="439"/>
      <c r="BD61" s="542"/>
      <c r="BE61" s="392"/>
      <c r="BF61" s="392"/>
      <c r="BG61" s="393"/>
      <c r="BH61" s="393"/>
      <c r="BI61" s="393"/>
      <c r="BJ61" s="393"/>
      <c r="BK61" s="393"/>
      <c r="BL61" s="393"/>
      <c r="BM61" s="437"/>
      <c r="BN61" s="393"/>
      <c r="BO61" s="513"/>
      <c r="BP61" s="439"/>
      <c r="BQ61" s="556"/>
      <c r="BR61" s="429"/>
      <c r="BS61" s="429"/>
      <c r="BT61" s="429"/>
      <c r="BU61" s="429"/>
      <c r="BV61" s="429"/>
      <c r="BW61" s="429"/>
      <c r="BX61" s="429"/>
      <c r="BY61" s="429"/>
      <c r="BZ61" s="429"/>
      <c r="CA61" s="429"/>
      <c r="CB61" s="429"/>
      <c r="CC61" s="429"/>
      <c r="CD61" s="61"/>
      <c r="CE61" s="61"/>
      <c r="CF61" s="61"/>
      <c r="CG61" s="61"/>
    </row>
    <row r="62" spans="1:85" ht="9.9" customHeight="1">
      <c r="A62" s="404"/>
      <c r="B62" s="409"/>
      <c r="C62" s="410"/>
      <c r="D62" s="415"/>
      <c r="E62" s="424"/>
      <c r="F62" s="424"/>
      <c r="G62" s="424"/>
      <c r="H62" s="416"/>
      <c r="I62" s="415"/>
      <c r="J62" s="416"/>
      <c r="K62" s="534"/>
      <c r="L62" s="535"/>
      <c r="M62" s="421"/>
      <c r="N62" s="424"/>
      <c r="O62" s="424"/>
      <c r="P62" s="424"/>
      <c r="Q62" s="416"/>
      <c r="R62" s="415"/>
      <c r="S62" s="416"/>
      <c r="T62" s="421"/>
      <c r="U62" s="416"/>
      <c r="V62" s="421"/>
      <c r="W62" s="416"/>
      <c r="X62" s="421"/>
      <c r="Y62" s="416"/>
      <c r="Z62" s="387"/>
      <c r="AA62" s="478"/>
      <c r="AB62" s="479"/>
      <c r="AC62" s="479"/>
      <c r="AD62" s="479"/>
      <c r="AE62" s="479"/>
      <c r="AF62" s="479"/>
      <c r="AG62" s="480"/>
      <c r="AH62" s="486"/>
      <c r="AI62" s="487"/>
      <c r="AJ62" s="486"/>
      <c r="AK62" s="487"/>
      <c r="AL62" s="492"/>
      <c r="AM62" s="149"/>
      <c r="AN62" s="477"/>
      <c r="AO62" s="267"/>
      <c r="AP62" s="543"/>
      <c r="AQ62" s="543"/>
      <c r="AR62" s="392"/>
      <c r="AS62" s="392"/>
      <c r="AT62" s="393"/>
      <c r="AU62" s="393"/>
      <c r="AV62" s="393"/>
      <c r="AW62" s="393"/>
      <c r="AX62" s="393"/>
      <c r="AY62" s="393"/>
      <c r="AZ62" s="437"/>
      <c r="BA62" s="393"/>
      <c r="BB62" s="439"/>
      <c r="BC62" s="439"/>
      <c r="BD62" s="542"/>
      <c r="BE62" s="392"/>
      <c r="BF62" s="392"/>
      <c r="BG62" s="393"/>
      <c r="BH62" s="393"/>
      <c r="BI62" s="393"/>
      <c r="BJ62" s="393"/>
      <c r="BK62" s="393"/>
      <c r="BL62" s="393"/>
      <c r="BM62" s="437"/>
      <c r="BN62" s="393"/>
      <c r="BO62" s="513"/>
      <c r="BP62" s="439"/>
      <c r="BQ62" s="556"/>
      <c r="BR62" s="429"/>
      <c r="BS62" s="429"/>
      <c r="BT62" s="429"/>
      <c r="BU62" s="429"/>
      <c r="BV62" s="429"/>
      <c r="BW62" s="429"/>
      <c r="BX62" s="429"/>
      <c r="BY62" s="429"/>
      <c r="BZ62" s="429"/>
      <c r="CA62" s="429"/>
      <c r="CB62" s="429"/>
      <c r="CC62" s="429"/>
      <c r="CD62" s="61"/>
      <c r="CE62" s="61"/>
      <c r="CF62" s="61"/>
      <c r="CG62" s="61"/>
    </row>
    <row r="63" spans="1:85" ht="6" customHeight="1">
      <c r="A63" s="404"/>
      <c r="B63" s="409"/>
      <c r="C63" s="410"/>
      <c r="D63" s="415"/>
      <c r="E63" s="424"/>
      <c r="F63" s="424"/>
      <c r="G63" s="424"/>
      <c r="H63" s="416"/>
      <c r="I63" s="415"/>
      <c r="J63" s="416"/>
      <c r="K63" s="534"/>
      <c r="L63" s="535"/>
      <c r="M63" s="421"/>
      <c r="N63" s="424"/>
      <c r="O63" s="424"/>
      <c r="P63" s="424"/>
      <c r="Q63" s="416"/>
      <c r="R63" s="415"/>
      <c r="S63" s="416"/>
      <c r="T63" s="421"/>
      <c r="U63" s="416"/>
      <c r="V63" s="421"/>
      <c r="W63" s="416"/>
      <c r="X63" s="421"/>
      <c r="Y63" s="416"/>
      <c r="Z63" s="387"/>
      <c r="AA63" s="478"/>
      <c r="AB63" s="479"/>
      <c r="AC63" s="479"/>
      <c r="AD63" s="479"/>
      <c r="AE63" s="479"/>
      <c r="AF63" s="479"/>
      <c r="AG63" s="480"/>
      <c r="AH63" s="486"/>
      <c r="AI63" s="487"/>
      <c r="AJ63" s="486"/>
      <c r="AK63" s="487"/>
      <c r="AL63" s="492"/>
      <c r="AM63" s="149"/>
      <c r="AN63" s="477"/>
      <c r="AO63" s="267"/>
      <c r="AP63" s="543"/>
      <c r="AQ63" s="543"/>
      <c r="AT63" s="393"/>
      <c r="AU63" s="393"/>
      <c r="AV63" s="393"/>
      <c r="AW63" s="393"/>
      <c r="AX63" s="393"/>
      <c r="AY63" s="393"/>
      <c r="AZ63" s="437"/>
      <c r="BA63" s="393"/>
      <c r="BB63" s="439"/>
      <c r="BC63" s="439"/>
      <c r="BD63" s="542"/>
      <c r="BG63" s="393"/>
      <c r="BH63" s="393"/>
      <c r="BI63" s="393"/>
      <c r="BJ63" s="393"/>
      <c r="BK63" s="393"/>
      <c r="BL63" s="393"/>
      <c r="BM63" s="437"/>
      <c r="BN63" s="393"/>
      <c r="BO63" s="513"/>
      <c r="BP63" s="439"/>
      <c r="BQ63" s="556"/>
      <c r="BR63" s="429"/>
      <c r="BS63" s="429"/>
      <c r="BT63" s="429"/>
      <c r="BU63" s="429"/>
      <c r="BV63" s="429"/>
      <c r="BW63" s="429"/>
      <c r="BX63" s="429"/>
      <c r="BY63" s="429"/>
      <c r="BZ63" s="429"/>
      <c r="CA63" s="429"/>
      <c r="CB63" s="429"/>
      <c r="CC63" s="429"/>
      <c r="CD63" s="61"/>
      <c r="CE63" s="61"/>
      <c r="CF63" s="61"/>
      <c r="CG63" s="61"/>
    </row>
    <row r="64" spans="1:85" ht="6" customHeight="1">
      <c r="A64" s="405"/>
      <c r="B64" s="411"/>
      <c r="C64" s="412"/>
      <c r="D64" s="417"/>
      <c r="E64" s="425"/>
      <c r="F64" s="425"/>
      <c r="G64" s="425"/>
      <c r="H64" s="418"/>
      <c r="I64" s="417"/>
      <c r="J64" s="418"/>
      <c r="K64" s="534"/>
      <c r="L64" s="535"/>
      <c r="M64" s="422"/>
      <c r="N64" s="425"/>
      <c r="O64" s="425"/>
      <c r="P64" s="425"/>
      <c r="Q64" s="418"/>
      <c r="R64" s="417"/>
      <c r="S64" s="418"/>
      <c r="T64" s="422"/>
      <c r="U64" s="418"/>
      <c r="V64" s="422"/>
      <c r="W64" s="418"/>
      <c r="X64" s="422"/>
      <c r="Y64" s="418"/>
      <c r="Z64" s="387"/>
      <c r="AA64" s="481"/>
      <c r="AB64" s="482"/>
      <c r="AC64" s="482"/>
      <c r="AD64" s="482"/>
      <c r="AE64" s="482"/>
      <c r="AF64" s="482"/>
      <c r="AG64" s="483"/>
      <c r="AH64" s="488"/>
      <c r="AI64" s="489"/>
      <c r="AJ64" s="488"/>
      <c r="AK64" s="489"/>
      <c r="AL64" s="493"/>
      <c r="AM64" s="149"/>
      <c r="AN64" s="477"/>
      <c r="AO64" s="267"/>
      <c r="AP64" s="543"/>
      <c r="AQ64" s="543"/>
      <c r="AT64" s="393"/>
      <c r="AU64" s="393"/>
      <c r="AV64" s="393"/>
      <c r="AW64" s="393"/>
      <c r="AX64" s="393"/>
      <c r="AY64" s="393"/>
      <c r="AZ64" s="437"/>
      <c r="BA64" s="393"/>
      <c r="BB64" s="439"/>
      <c r="BC64" s="439"/>
      <c r="BD64" s="542"/>
      <c r="BG64" s="393"/>
      <c r="BH64" s="393"/>
      <c r="BI64" s="393"/>
      <c r="BJ64" s="393"/>
      <c r="BK64" s="393"/>
      <c r="BL64" s="393"/>
      <c r="BM64" s="437"/>
      <c r="BN64" s="393"/>
      <c r="BO64" s="513"/>
      <c r="BP64" s="439"/>
      <c r="BQ64" s="556"/>
      <c r="BR64" s="429"/>
      <c r="BS64" s="429"/>
      <c r="BT64" s="429"/>
      <c r="BU64" s="429"/>
      <c r="BV64" s="429"/>
      <c r="BW64" s="429"/>
      <c r="BX64" s="429"/>
      <c r="BY64" s="429"/>
      <c r="BZ64" s="429"/>
      <c r="CA64" s="429"/>
      <c r="CB64" s="429"/>
      <c r="CC64" s="429"/>
      <c r="CD64" s="61"/>
      <c r="CE64" s="61"/>
      <c r="CF64" s="61"/>
      <c r="CG64" s="61"/>
    </row>
    <row r="65" spans="1:85" ht="12.9" customHeight="1">
      <c r="A65" s="403" t="s">
        <v>12</v>
      </c>
      <c r="B65" s="407"/>
      <c r="C65" s="408"/>
      <c r="D65" s="413"/>
      <c r="E65" s="423"/>
      <c r="F65" s="423"/>
      <c r="G65" s="423"/>
      <c r="H65" s="414"/>
      <c r="I65" s="413"/>
      <c r="J65" s="414"/>
      <c r="K65" s="534"/>
      <c r="L65" s="535"/>
      <c r="M65" s="420"/>
      <c r="N65" s="423"/>
      <c r="O65" s="423"/>
      <c r="P65" s="423"/>
      <c r="Q65" s="414"/>
      <c r="R65" s="413"/>
      <c r="S65" s="414"/>
      <c r="T65" s="420"/>
      <c r="U65" s="414"/>
      <c r="V65" s="420"/>
      <c r="W65" s="414"/>
      <c r="X65" s="420"/>
      <c r="Y65" s="414"/>
      <c r="Z65" s="387" t="str">
        <f>IF($BJ$71="","",$BJ$71)</f>
        <v/>
      </c>
      <c r="AA65" s="529"/>
      <c r="AB65" s="530"/>
      <c r="AC65" s="530"/>
      <c r="AD65" s="530"/>
      <c r="AE65" s="530"/>
      <c r="AF65" s="530"/>
      <c r="AG65" s="531"/>
      <c r="AH65" s="520"/>
      <c r="AI65" s="521"/>
      <c r="AJ65" s="520"/>
      <c r="AK65" s="525"/>
      <c r="AL65" s="527"/>
      <c r="AM65" s="149"/>
      <c r="AN65" s="476">
        <f>IF(CARTELLINO!$AG$48&lt;&gt;"",CARTELLINO!$AG$48*2,"")</f>
        <v>0</v>
      </c>
      <c r="AO65" s="270"/>
      <c r="AP65" s="543"/>
      <c r="AQ65" s="543"/>
      <c r="AR65" s="392"/>
      <c r="AS65" s="392"/>
      <c r="AT65" s="393"/>
      <c r="AU65" s="393"/>
      <c r="AV65" s="393"/>
      <c r="AW65" s="393"/>
      <c r="AX65" s="393"/>
      <c r="AY65" s="393"/>
      <c r="AZ65" s="437"/>
      <c r="BA65" s="393"/>
      <c r="BB65" s="439"/>
      <c r="BC65" s="439"/>
      <c r="BD65" s="542"/>
      <c r="BE65" s="392"/>
      <c r="BF65" s="392"/>
      <c r="BG65" s="393"/>
      <c r="BH65" s="393"/>
      <c r="BI65" s="393"/>
      <c r="BJ65" s="393"/>
      <c r="BK65" s="393"/>
      <c r="BL65" s="393"/>
      <c r="BM65" s="437"/>
      <c r="BN65" s="393"/>
      <c r="BO65" s="513"/>
      <c r="BP65" s="439"/>
      <c r="BQ65" s="556"/>
      <c r="BR65" s="429"/>
      <c r="BS65" s="429"/>
      <c r="BT65" s="429"/>
      <c r="BU65" s="429"/>
      <c r="BV65" s="429"/>
      <c r="BW65" s="429"/>
      <c r="BX65" s="429"/>
      <c r="BY65" s="429"/>
      <c r="BZ65" s="429"/>
      <c r="CA65" s="429"/>
      <c r="CB65" s="429"/>
      <c r="CC65" s="429"/>
      <c r="CD65" s="61"/>
      <c r="CE65" s="61"/>
      <c r="CF65" s="61"/>
      <c r="CG65" s="61"/>
    </row>
    <row r="66" spans="1:85" ht="5.0999999999999996" customHeight="1">
      <c r="A66" s="404"/>
      <c r="B66" s="409"/>
      <c r="C66" s="410"/>
      <c r="D66" s="415"/>
      <c r="E66" s="424"/>
      <c r="F66" s="424"/>
      <c r="G66" s="424"/>
      <c r="H66" s="416"/>
      <c r="I66" s="415"/>
      <c r="J66" s="416"/>
      <c r="K66" s="534"/>
      <c r="L66" s="535"/>
      <c r="M66" s="421"/>
      <c r="N66" s="424"/>
      <c r="O66" s="424"/>
      <c r="P66" s="424"/>
      <c r="Q66" s="416"/>
      <c r="R66" s="415"/>
      <c r="S66" s="416"/>
      <c r="T66" s="421"/>
      <c r="U66" s="416"/>
      <c r="V66" s="421"/>
      <c r="W66" s="416"/>
      <c r="X66" s="421"/>
      <c r="Y66" s="416"/>
      <c r="Z66" s="387"/>
      <c r="AA66" s="478"/>
      <c r="AB66" s="479"/>
      <c r="AC66" s="479"/>
      <c r="AD66" s="479"/>
      <c r="AE66" s="479"/>
      <c r="AF66" s="479"/>
      <c r="AG66" s="480"/>
      <c r="AH66" s="486"/>
      <c r="AI66" s="522"/>
      <c r="AJ66" s="486"/>
      <c r="AK66" s="487"/>
      <c r="AL66" s="492"/>
      <c r="AM66" s="149"/>
      <c r="AN66" s="477"/>
      <c r="AO66" s="267"/>
      <c r="AP66" s="543"/>
      <c r="AQ66" s="543"/>
      <c r="AT66" s="393"/>
      <c r="AU66" s="393"/>
      <c r="AV66" s="393"/>
      <c r="AW66" s="393"/>
      <c r="AX66" s="393"/>
      <c r="AY66" s="393"/>
      <c r="AZ66" s="437"/>
      <c r="BA66" s="393"/>
      <c r="BB66" s="439"/>
      <c r="BC66" s="439"/>
      <c r="BD66" s="542"/>
      <c r="BG66" s="393"/>
      <c r="BH66" s="393"/>
      <c r="BI66" s="393"/>
      <c r="BJ66" s="393"/>
      <c r="BK66" s="393"/>
      <c r="BL66" s="393"/>
      <c r="BM66" s="437"/>
      <c r="BN66" s="393"/>
      <c r="BO66" s="513"/>
      <c r="BP66" s="439"/>
      <c r="BQ66" s="556"/>
      <c r="BR66" s="429"/>
      <c r="BS66" s="429"/>
      <c r="BT66" s="429"/>
      <c r="BU66" s="429"/>
      <c r="BV66" s="429"/>
      <c r="BW66" s="429"/>
      <c r="BX66" s="429"/>
      <c r="BY66" s="429"/>
      <c r="BZ66" s="429"/>
      <c r="CA66" s="429"/>
      <c r="CB66" s="429"/>
      <c r="CC66" s="429"/>
      <c r="CD66" s="61"/>
      <c r="CE66" s="61"/>
      <c r="CF66" s="61"/>
      <c r="CG66" s="61"/>
    </row>
    <row r="67" spans="1:85" ht="5.0999999999999996" customHeight="1">
      <c r="A67" s="404"/>
      <c r="B67" s="409"/>
      <c r="C67" s="410"/>
      <c r="D67" s="415"/>
      <c r="E67" s="424"/>
      <c r="F67" s="424"/>
      <c r="G67" s="424"/>
      <c r="H67" s="416"/>
      <c r="I67" s="415"/>
      <c r="J67" s="416"/>
      <c r="K67" s="534"/>
      <c r="L67" s="535"/>
      <c r="M67" s="421"/>
      <c r="N67" s="424"/>
      <c r="O67" s="424"/>
      <c r="P67" s="424"/>
      <c r="Q67" s="416"/>
      <c r="R67" s="415"/>
      <c r="S67" s="416"/>
      <c r="T67" s="421"/>
      <c r="U67" s="416"/>
      <c r="V67" s="421"/>
      <c r="W67" s="416"/>
      <c r="X67" s="421"/>
      <c r="Y67" s="416"/>
      <c r="Z67" s="387"/>
      <c r="AA67" s="478"/>
      <c r="AB67" s="479"/>
      <c r="AC67" s="479"/>
      <c r="AD67" s="479"/>
      <c r="AE67" s="479"/>
      <c r="AF67" s="479"/>
      <c r="AG67" s="480"/>
      <c r="AH67" s="486"/>
      <c r="AI67" s="522"/>
      <c r="AJ67" s="486"/>
      <c r="AK67" s="487"/>
      <c r="AL67" s="492"/>
      <c r="AM67" s="149"/>
      <c r="AN67" s="477"/>
      <c r="AO67" s="266"/>
      <c r="AP67" s="543"/>
      <c r="AQ67" s="543"/>
      <c r="AT67" s="393"/>
      <c r="AU67" s="393"/>
      <c r="AV67" s="393"/>
      <c r="AW67" s="393"/>
      <c r="AX67" s="393"/>
      <c r="AY67" s="393"/>
      <c r="AZ67" s="437"/>
      <c r="BA67" s="393"/>
      <c r="BB67" s="439"/>
      <c r="BC67" s="439"/>
      <c r="BD67" s="542"/>
      <c r="BG67" s="393"/>
      <c r="BH67" s="393"/>
      <c r="BI67" s="393"/>
      <c r="BJ67" s="393"/>
      <c r="BK67" s="393"/>
      <c r="BL67" s="393"/>
      <c r="BM67" s="437"/>
      <c r="BN67" s="393"/>
      <c r="BO67" s="513"/>
      <c r="BP67" s="439"/>
      <c r="BQ67" s="556"/>
      <c r="BR67" s="429"/>
      <c r="BS67" s="429"/>
      <c r="BT67" s="429"/>
      <c r="BU67" s="429"/>
      <c r="BV67" s="429"/>
      <c r="BW67" s="429"/>
      <c r="BX67" s="429"/>
      <c r="BY67" s="429"/>
      <c r="BZ67" s="429"/>
      <c r="CA67" s="429"/>
      <c r="CB67" s="429"/>
      <c r="CC67" s="429"/>
      <c r="CD67" s="61"/>
      <c r="CE67" s="61"/>
      <c r="CF67" s="61"/>
      <c r="CG67" s="61"/>
    </row>
    <row r="68" spans="1:85" ht="5.0999999999999996" customHeight="1">
      <c r="A68" s="406"/>
      <c r="B68" s="411"/>
      <c r="C68" s="412"/>
      <c r="D68" s="417"/>
      <c r="E68" s="425"/>
      <c r="F68" s="425"/>
      <c r="G68" s="425"/>
      <c r="H68" s="418"/>
      <c r="I68" s="417"/>
      <c r="J68" s="418"/>
      <c r="K68" s="502"/>
      <c r="L68" s="503"/>
      <c r="M68" s="422"/>
      <c r="N68" s="425"/>
      <c r="O68" s="425"/>
      <c r="P68" s="425"/>
      <c r="Q68" s="418"/>
      <c r="R68" s="417"/>
      <c r="S68" s="418"/>
      <c r="T68" s="422"/>
      <c r="U68" s="418"/>
      <c r="V68" s="422"/>
      <c r="W68" s="418"/>
      <c r="X68" s="422"/>
      <c r="Y68" s="418"/>
      <c r="Z68" s="387"/>
      <c r="AA68" s="481"/>
      <c r="AB68" s="482"/>
      <c r="AC68" s="482"/>
      <c r="AD68" s="482"/>
      <c r="AE68" s="482"/>
      <c r="AF68" s="482"/>
      <c r="AG68" s="483"/>
      <c r="AH68" s="523"/>
      <c r="AI68" s="524"/>
      <c r="AJ68" s="523"/>
      <c r="AK68" s="526"/>
      <c r="AL68" s="528"/>
      <c r="AM68" s="149"/>
      <c r="AN68" s="477"/>
      <c r="AO68" s="266"/>
      <c r="AP68" s="543"/>
      <c r="AQ68" s="543"/>
      <c r="AT68" s="393"/>
      <c r="AU68" s="393"/>
      <c r="AV68" s="393"/>
      <c r="AW68" s="393"/>
      <c r="AX68" s="393"/>
      <c r="AY68" s="393"/>
      <c r="AZ68" s="437"/>
      <c r="BA68" s="393"/>
      <c r="BB68" s="439"/>
      <c r="BC68" s="439"/>
      <c r="BD68" s="542"/>
      <c r="BG68" s="393"/>
      <c r="BH68" s="393"/>
      <c r="BI68" s="393"/>
      <c r="BJ68" s="393"/>
      <c r="BK68" s="393"/>
      <c r="BL68" s="393"/>
      <c r="BM68" s="437"/>
      <c r="BN68" s="393"/>
      <c r="BO68" s="513"/>
      <c r="BP68" s="439"/>
      <c r="BQ68" s="556"/>
      <c r="BR68" s="429"/>
      <c r="BS68" s="429"/>
      <c r="BT68" s="429"/>
      <c r="BU68" s="429"/>
      <c r="BV68" s="429"/>
      <c r="BW68" s="429"/>
      <c r="BX68" s="429"/>
      <c r="BY68" s="429"/>
      <c r="BZ68" s="429"/>
      <c r="CA68" s="429"/>
      <c r="CB68" s="429"/>
      <c r="CC68" s="429"/>
      <c r="CD68" s="61"/>
      <c r="CE68" s="61"/>
      <c r="CF68" s="61"/>
      <c r="CG68" s="61"/>
    </row>
    <row r="69" spans="1:85" ht="15" customHeight="1">
      <c r="A69" s="401"/>
      <c r="B69" s="401"/>
      <c r="C69" s="426" t="str">
        <f>IF(AND(DATI!X2&gt;0,OR(DATI!O6&gt;0,DATI!O10&gt;0)),"SUPERATO IL LIMITE CONSENTITO DI 2100 mm",IF(AND(DATI!X2&gt;0,DATI!$O$22&gt;0),"SUPERATO IL LIMITE CONSENTITO DI 2500 mm",IF(AND(DATI!X2&gt;0,DATI!$O$8&gt;0),"SUPERATO IL LIMITE CONSENTITO DI 2800 mm",IF(AND(DATI!X2&gt;0,DATI!$O$19&gt;0),"SUPERATO IL LIMITE CONSENTITO DI 2800 mm",IF(OR(DATI!I12&gt;0,DATI!I14&gt;0,DATI!I18&gt;0)*AND(DATI!X2&gt;0),"SUPERATO IL LIMITE CONSENTITO DI 3000 mm","")))))</f>
        <v/>
      </c>
      <c r="D69" s="426"/>
      <c r="E69" s="426"/>
      <c r="F69" s="426"/>
      <c r="G69" s="426"/>
      <c r="H69" s="426"/>
      <c r="I69" s="426"/>
      <c r="J69" s="426"/>
      <c r="K69" s="426"/>
      <c r="L69" s="426"/>
      <c r="M69" s="426"/>
      <c r="N69" s="426"/>
      <c r="O69" s="426"/>
      <c r="P69" s="426"/>
      <c r="Q69" s="426"/>
      <c r="R69" s="426"/>
      <c r="S69" s="426"/>
      <c r="T69" s="426"/>
      <c r="U69" s="426"/>
      <c r="V69" s="426"/>
      <c r="W69" s="426"/>
      <c r="X69" s="426"/>
      <c r="Y69" s="426"/>
      <c r="Z69" s="262" t="str">
        <f>IF($Z$49&lt;&gt;"",1,IF($Z$53&lt;&gt;"",1,IF($Z$57&lt;&gt;"",1,IF($Z$61&lt;&gt;"",1,IF($Z$65&lt;&gt;"",1,"")))))</f>
        <v/>
      </c>
      <c r="AA69" s="250"/>
      <c r="AB69" s="250"/>
      <c r="AC69" s="250"/>
      <c r="AD69" s="250"/>
      <c r="AE69" s="250"/>
      <c r="AF69" s="250"/>
      <c r="AG69" s="186"/>
      <c r="AH69" s="469" t="s">
        <v>351</v>
      </c>
      <c r="AI69" s="469"/>
      <c r="AJ69" s="469"/>
      <c r="AK69" s="469"/>
      <c r="AL69" s="469"/>
      <c r="AM69" s="469"/>
      <c r="AN69" s="469"/>
      <c r="AO69" s="266"/>
      <c r="AP69" s="543"/>
      <c r="AQ69" s="543"/>
      <c r="AR69" s="170"/>
      <c r="AS69" s="170"/>
      <c r="AT69" s="170"/>
      <c r="AU69" s="170"/>
      <c r="AV69" s="170"/>
      <c r="AW69" s="144"/>
      <c r="AX69" s="144"/>
      <c r="AY69" s="182"/>
      <c r="AZ69" s="182"/>
      <c r="BA69" s="393"/>
      <c r="BB69" s="439"/>
      <c r="BC69" s="439"/>
      <c r="BD69" s="542"/>
      <c r="BJ69" s="144"/>
      <c r="BK69" s="184"/>
      <c r="BL69" s="182"/>
      <c r="BM69" s="182"/>
      <c r="BN69" s="393"/>
      <c r="BO69" s="513"/>
      <c r="BP69" s="439"/>
      <c r="BQ69" s="556"/>
      <c r="BR69" s="429"/>
      <c r="BS69" s="429"/>
      <c r="BT69" s="429"/>
      <c r="BU69" s="429"/>
      <c r="BV69" s="429"/>
      <c r="BW69" s="429"/>
      <c r="BX69" s="429"/>
      <c r="BY69" s="429"/>
      <c r="BZ69" s="429"/>
      <c r="CA69" s="429"/>
      <c r="CB69" s="429"/>
      <c r="CC69" s="429"/>
      <c r="CD69" s="61"/>
      <c r="CE69" s="61"/>
      <c r="CF69" s="61"/>
      <c r="CG69" s="61"/>
    </row>
    <row r="70" spans="1:85" ht="3" customHeight="1">
      <c r="A70" s="402"/>
      <c r="B70" s="402"/>
      <c r="C70" s="427" t="s">
        <v>7</v>
      </c>
      <c r="D70" s="427"/>
      <c r="E70" s="427"/>
      <c r="F70" s="428"/>
      <c r="G70" s="428"/>
      <c r="H70" s="428"/>
      <c r="I70" s="428"/>
      <c r="J70" s="428"/>
      <c r="K70" s="428"/>
      <c r="L70" s="428"/>
      <c r="M70" s="428"/>
      <c r="N70" s="428"/>
      <c r="O70" s="428"/>
      <c r="P70" s="428"/>
      <c r="Q70" s="428"/>
      <c r="R70" s="428"/>
      <c r="S70" s="428"/>
      <c r="T70" s="428"/>
      <c r="U70" s="428"/>
      <c r="V70" s="428"/>
      <c r="W70" s="428"/>
      <c r="X70" s="428"/>
      <c r="Y70" s="428"/>
      <c r="Z70" s="428"/>
      <c r="AA70" s="428"/>
      <c r="AB70" s="428"/>
      <c r="AC70" s="428"/>
      <c r="AD70" s="428"/>
      <c r="AE70" s="428"/>
      <c r="AF70" s="428"/>
      <c r="AG70" s="428"/>
      <c r="AH70" s="428"/>
      <c r="AI70" s="428"/>
      <c r="AJ70" s="428"/>
      <c r="AK70" s="428"/>
      <c r="AL70" s="428"/>
      <c r="AM70" s="428"/>
      <c r="AN70" s="428"/>
      <c r="AO70" s="266"/>
      <c r="AP70" s="168"/>
      <c r="BC70" s="115"/>
      <c r="BD70" s="168"/>
      <c r="BP70" s="169"/>
      <c r="BQ70" s="556"/>
      <c r="BR70" s="429"/>
      <c r="BS70" s="429"/>
      <c r="BT70" s="429"/>
      <c r="BU70" s="429"/>
      <c r="BV70" s="429"/>
      <c r="BW70" s="429"/>
      <c r="BX70" s="429"/>
      <c r="BY70" s="429"/>
      <c r="BZ70" s="429"/>
      <c r="CA70" s="429"/>
      <c r="CB70" s="429"/>
      <c r="CC70" s="429"/>
      <c r="CD70" s="61"/>
      <c r="CE70" s="61"/>
      <c r="CF70" s="61"/>
      <c r="CG70" s="61"/>
    </row>
    <row r="71" spans="1:85" ht="12.9" customHeight="1">
      <c r="A71" s="402"/>
      <c r="B71" s="402"/>
      <c r="C71" s="427"/>
      <c r="D71" s="427"/>
      <c r="E71" s="427"/>
      <c r="F71" s="428"/>
      <c r="G71" s="428"/>
      <c r="H71" s="428"/>
      <c r="I71" s="428"/>
      <c r="J71" s="428"/>
      <c r="K71" s="428"/>
      <c r="L71" s="428"/>
      <c r="M71" s="428"/>
      <c r="N71" s="428"/>
      <c r="O71" s="428"/>
      <c r="P71" s="428"/>
      <c r="Q71" s="428"/>
      <c r="R71" s="428"/>
      <c r="S71" s="428"/>
      <c r="T71" s="428"/>
      <c r="U71" s="428"/>
      <c r="V71" s="428"/>
      <c r="W71" s="428"/>
      <c r="X71" s="428"/>
      <c r="Y71" s="428"/>
      <c r="Z71" s="428"/>
      <c r="AA71" s="428"/>
      <c r="AB71" s="428"/>
      <c r="AC71" s="428"/>
      <c r="AD71" s="428"/>
      <c r="AE71" s="428"/>
      <c r="AF71" s="428"/>
      <c r="AG71" s="428"/>
      <c r="AH71" s="428"/>
      <c r="AI71" s="428"/>
      <c r="AJ71" s="428"/>
      <c r="AK71" s="428"/>
      <c r="AL71" s="428"/>
      <c r="AM71" s="428"/>
      <c r="AN71" s="428"/>
      <c r="AO71" s="266"/>
      <c r="AP71" s="429" t="str">
        <f>IF(AW71="","CON MANIGLIA ? →","CON MANIGLIA")</f>
        <v>CON MANIGLIA ? →</v>
      </c>
      <c r="AQ71" s="393"/>
      <c r="AR71" s="393"/>
      <c r="AS71" s="393"/>
      <c r="AT71" s="393"/>
      <c r="AU71" s="393"/>
      <c r="AV71" s="393"/>
      <c r="AW71" s="150"/>
      <c r="AX71" s="514"/>
      <c r="AY71" s="514"/>
      <c r="AZ71" s="514"/>
      <c r="BA71" s="438" t="str">
        <f>IF(AX71="Fori Ø 5 passo","mm","")</f>
        <v/>
      </c>
      <c r="BB71" s="438"/>
      <c r="BC71" s="184"/>
      <c r="BD71" s="429" t="str">
        <f>IF(BK71="","CON MANIGLIA ? →","CON MANIGLIA")</f>
        <v>CON MANIGLIA ? →</v>
      </c>
      <c r="BE71" s="429"/>
      <c r="BF71" s="429"/>
      <c r="BG71" s="429"/>
      <c r="BH71" s="429"/>
      <c r="BI71" s="429"/>
      <c r="BJ71" s="150"/>
      <c r="BK71" s="514"/>
      <c r="BL71" s="514"/>
      <c r="BM71" s="514"/>
      <c r="BN71" s="438" t="str">
        <f>IF(BK71="Fori Ø 5 passo","mm","")</f>
        <v/>
      </c>
      <c r="BO71" s="438"/>
      <c r="BP71" s="184"/>
      <c r="BQ71" s="556"/>
      <c r="BR71" s="429"/>
      <c r="BS71" s="429"/>
      <c r="BT71" s="429"/>
      <c r="BU71" s="429"/>
      <c r="BV71" s="429"/>
      <c r="BW71" s="429"/>
      <c r="BX71" s="429"/>
      <c r="BY71" s="429"/>
      <c r="BZ71" s="429"/>
      <c r="CA71" s="429"/>
      <c r="CB71" s="429"/>
      <c r="CC71" s="429"/>
      <c r="CD71" s="61"/>
      <c r="CE71" s="61"/>
      <c r="CF71" s="61"/>
      <c r="CG71" s="61"/>
    </row>
    <row r="72" spans="1:85" ht="8.1" customHeight="1">
      <c r="A72" s="402"/>
      <c r="B72" s="402"/>
      <c r="C72" s="427"/>
      <c r="D72" s="427"/>
      <c r="E72" s="427"/>
      <c r="F72" s="428"/>
      <c r="G72" s="428"/>
      <c r="H72" s="428"/>
      <c r="I72" s="428"/>
      <c r="J72" s="428"/>
      <c r="K72" s="428"/>
      <c r="L72" s="428"/>
      <c r="M72" s="428"/>
      <c r="N72" s="428"/>
      <c r="O72" s="428"/>
      <c r="P72" s="428"/>
      <c r="Q72" s="428"/>
      <c r="R72" s="428"/>
      <c r="S72" s="428"/>
      <c r="T72" s="428"/>
      <c r="U72" s="428"/>
      <c r="V72" s="428"/>
      <c r="W72" s="428"/>
      <c r="X72" s="428"/>
      <c r="Y72" s="428"/>
      <c r="Z72" s="428"/>
      <c r="AA72" s="428"/>
      <c r="AB72" s="428"/>
      <c r="AC72" s="428"/>
      <c r="AD72" s="428"/>
      <c r="AE72" s="428"/>
      <c r="AF72" s="428"/>
      <c r="AG72" s="428"/>
      <c r="AH72" s="428"/>
      <c r="AI72" s="428"/>
      <c r="AJ72" s="428"/>
      <c r="AK72" s="428"/>
      <c r="AL72" s="428"/>
      <c r="AM72" s="428"/>
      <c r="AN72" s="428"/>
      <c r="AO72" s="266"/>
      <c r="AP72" s="393"/>
      <c r="AQ72" s="393"/>
      <c r="AR72" s="393"/>
      <c r="AS72" s="393"/>
      <c r="AT72" s="393"/>
      <c r="AU72" s="393"/>
      <c r="AV72" s="393"/>
      <c r="AW72" s="393"/>
      <c r="AX72" s="393"/>
      <c r="AY72" s="393"/>
      <c r="AZ72" s="393"/>
      <c r="BA72" s="393"/>
      <c r="BB72" s="393"/>
      <c r="BC72" s="433"/>
      <c r="BD72" s="517"/>
      <c r="BE72" s="393"/>
      <c r="BF72" s="393"/>
      <c r="BG72" s="393"/>
      <c r="BH72" s="393"/>
      <c r="BI72" s="393"/>
      <c r="BJ72" s="393"/>
      <c r="BK72" s="393"/>
      <c r="BL72" s="393"/>
      <c r="BM72" s="393"/>
      <c r="BN72" s="393"/>
      <c r="BO72" s="393"/>
      <c r="BP72" s="433"/>
      <c r="BQ72" s="556"/>
      <c r="BR72" s="429"/>
      <c r="BS72" s="429"/>
      <c r="BT72" s="429"/>
      <c r="BU72" s="429"/>
      <c r="BV72" s="429"/>
      <c r="BW72" s="429"/>
      <c r="BX72" s="429"/>
      <c r="BY72" s="429"/>
      <c r="BZ72" s="429"/>
      <c r="CA72" s="429"/>
      <c r="CB72" s="429"/>
      <c r="CC72" s="429"/>
      <c r="CD72" s="61"/>
      <c r="CE72" s="61"/>
      <c r="CF72" s="61"/>
      <c r="CG72" s="61"/>
    </row>
    <row r="73" spans="1:85">
      <c r="A73" s="61"/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61"/>
      <c r="AT73" s="61"/>
      <c r="AU73" s="61"/>
      <c r="AV73" s="61"/>
      <c r="AW73" s="61"/>
      <c r="AX73" s="61"/>
      <c r="AY73" s="61"/>
      <c r="AZ73" s="61"/>
      <c r="BA73" s="61"/>
      <c r="BB73" s="61"/>
      <c r="BC73" s="61"/>
      <c r="BD73" s="61"/>
      <c r="BE73" s="61"/>
      <c r="BF73" s="61"/>
      <c r="BG73" s="61"/>
      <c r="BH73" s="61"/>
      <c r="BI73" s="61"/>
      <c r="BJ73" s="61"/>
      <c r="BK73" s="61"/>
      <c r="BL73" s="61"/>
      <c r="BM73" s="61"/>
      <c r="BN73" s="61"/>
      <c r="BO73" s="61"/>
      <c r="BP73" s="61"/>
      <c r="BQ73" s="61"/>
      <c r="BR73" s="61"/>
      <c r="BS73" s="61"/>
      <c r="BT73" s="61"/>
      <c r="BU73" s="61"/>
      <c r="BV73" s="61"/>
      <c r="BW73" s="61"/>
      <c r="BX73" s="61"/>
      <c r="BY73" s="61"/>
      <c r="BZ73" s="61"/>
      <c r="CA73" s="61"/>
      <c r="CB73" s="61"/>
      <c r="CC73" s="61"/>
      <c r="CD73" s="61"/>
      <c r="CE73" s="61"/>
      <c r="CF73" s="61"/>
      <c r="CG73" s="61"/>
    </row>
    <row r="74" spans="1:85" ht="5.0999999999999996" customHeight="1">
      <c r="A74" s="61"/>
      <c r="B74" s="61"/>
      <c r="C74" s="467"/>
      <c r="D74" s="467"/>
      <c r="E74" s="467"/>
      <c r="F74" s="467"/>
      <c r="G74" s="467"/>
      <c r="H74" s="467"/>
      <c r="I74" s="467"/>
      <c r="J74" s="467"/>
      <c r="K74" s="467"/>
      <c r="L74" s="467"/>
      <c r="M74" s="467"/>
      <c r="N74" s="467"/>
      <c r="O74" s="467"/>
      <c r="P74" s="61"/>
      <c r="Q74" s="61"/>
      <c r="R74" s="61"/>
      <c r="S74" s="468"/>
      <c r="T74" s="468"/>
      <c r="U74" s="468"/>
      <c r="V74" s="468"/>
      <c r="W74" s="468"/>
      <c r="X74" s="441"/>
      <c r="Y74" s="441"/>
      <c r="Z74" s="441"/>
      <c r="AA74" s="441"/>
      <c r="AB74" s="441"/>
      <c r="AC74" s="441"/>
      <c r="AD74" s="441"/>
      <c r="AE74" s="441"/>
      <c r="AF74" s="441"/>
      <c r="AG74" s="441"/>
      <c r="AH74" s="61"/>
      <c r="AI74" s="61"/>
      <c r="AJ74" s="61"/>
      <c r="AK74" s="61"/>
      <c r="AL74" s="61"/>
      <c r="AM74" s="61"/>
      <c r="AN74" s="61"/>
      <c r="AO74" s="61"/>
      <c r="AP74" s="61"/>
      <c r="AQ74" s="61"/>
      <c r="AR74" s="61"/>
      <c r="AS74" s="61"/>
      <c r="AT74" s="61"/>
      <c r="AU74" s="61"/>
      <c r="AV74" s="61"/>
      <c r="AW74" s="61"/>
      <c r="AX74" s="61"/>
      <c r="AY74" s="61"/>
      <c r="AZ74" s="61"/>
      <c r="BA74" s="61"/>
      <c r="BB74" s="61"/>
      <c r="BC74" s="61"/>
      <c r="BD74" s="61"/>
      <c r="BE74" s="61"/>
      <c r="BF74" s="61"/>
      <c r="BG74" s="61"/>
      <c r="BH74" s="61"/>
      <c r="BI74" s="61"/>
      <c r="BJ74" s="61"/>
      <c r="BK74" s="61"/>
      <c r="BL74" s="61"/>
      <c r="BM74" s="61"/>
      <c r="BN74" s="61"/>
      <c r="BO74" s="61"/>
      <c r="BP74" s="61"/>
      <c r="BQ74" s="61"/>
      <c r="BR74" s="61"/>
      <c r="BS74" s="61"/>
      <c r="BT74" s="61"/>
      <c r="BU74" s="61"/>
      <c r="BV74" s="61"/>
      <c r="BW74" s="61"/>
      <c r="BX74" s="61"/>
      <c r="BY74" s="61"/>
      <c r="BZ74" s="61"/>
      <c r="CA74" s="61"/>
      <c r="CB74" s="61"/>
      <c r="CC74" s="61"/>
      <c r="CD74" s="61"/>
      <c r="CE74" s="61"/>
      <c r="CF74" s="61"/>
      <c r="CG74" s="61"/>
    </row>
    <row r="75" spans="1:85" ht="9.9" customHeight="1">
      <c r="A75" s="61"/>
      <c r="B75" s="61"/>
      <c r="C75" s="467"/>
      <c r="D75" s="467"/>
      <c r="E75" s="467"/>
      <c r="F75" s="467"/>
      <c r="G75" s="467"/>
      <c r="H75" s="467"/>
      <c r="I75" s="467"/>
      <c r="J75" s="467"/>
      <c r="K75" s="467"/>
      <c r="L75" s="467"/>
      <c r="M75" s="467"/>
      <c r="N75" s="467"/>
      <c r="O75" s="467"/>
      <c r="P75" s="61"/>
      <c r="Q75" s="61"/>
      <c r="R75" s="61"/>
      <c r="S75" s="468"/>
      <c r="T75" s="468"/>
      <c r="U75" s="468"/>
      <c r="V75" s="468"/>
      <c r="W75" s="468"/>
      <c r="X75" s="441"/>
      <c r="Y75" s="441"/>
      <c r="Z75" s="441"/>
      <c r="AA75" s="441"/>
      <c r="AB75" s="441"/>
      <c r="AC75" s="441"/>
      <c r="AD75" s="441"/>
      <c r="AE75" s="441"/>
      <c r="AF75" s="441"/>
      <c r="AG75" s="441"/>
      <c r="AH75" s="61"/>
      <c r="AI75" s="61"/>
      <c r="AJ75" s="61"/>
      <c r="AK75" s="61"/>
      <c r="AL75" s="61"/>
      <c r="AM75" s="61"/>
      <c r="AN75" s="61"/>
      <c r="AO75" s="61"/>
      <c r="AP75" s="61"/>
      <c r="AQ75" s="61"/>
      <c r="AR75" s="61"/>
      <c r="AS75" s="61"/>
      <c r="AT75" s="61"/>
      <c r="AU75" s="61"/>
      <c r="AV75" s="61"/>
      <c r="AW75" s="61"/>
      <c r="AX75" s="61"/>
      <c r="AY75" s="61"/>
      <c r="AZ75" s="61"/>
      <c r="BA75" s="61"/>
      <c r="BB75" s="61"/>
      <c r="BC75" s="61"/>
      <c r="BD75" s="61"/>
      <c r="BE75" s="61"/>
      <c r="BF75" s="61"/>
      <c r="BG75" s="61"/>
      <c r="BH75" s="61"/>
      <c r="BI75" s="61"/>
      <c r="BJ75" s="61"/>
      <c r="BK75" s="61"/>
      <c r="BL75" s="61"/>
      <c r="BM75" s="61"/>
      <c r="BN75" s="61"/>
      <c r="BO75" s="61"/>
      <c r="BP75" s="61"/>
      <c r="BQ75" s="61"/>
      <c r="BR75" s="61"/>
      <c r="BS75" s="61"/>
      <c r="BT75" s="61"/>
      <c r="BU75" s="61"/>
      <c r="BV75" s="61"/>
      <c r="BW75" s="61"/>
      <c r="BX75" s="61"/>
      <c r="BY75" s="61"/>
      <c r="BZ75" s="61"/>
      <c r="CA75" s="61"/>
      <c r="CB75" s="61"/>
      <c r="CC75" s="61"/>
      <c r="CD75" s="61"/>
      <c r="CE75" s="61"/>
      <c r="CF75" s="61"/>
      <c r="CG75" s="61"/>
    </row>
    <row r="76" spans="1:85" ht="5.0999999999999996" customHeight="1">
      <c r="A76" s="61"/>
      <c r="B76" s="61"/>
      <c r="C76" s="467"/>
      <c r="D76" s="467"/>
      <c r="E76" s="467"/>
      <c r="F76" s="467"/>
      <c r="G76" s="467"/>
      <c r="H76" s="467"/>
      <c r="I76" s="467"/>
      <c r="J76" s="467"/>
      <c r="K76" s="467"/>
      <c r="L76" s="467"/>
      <c r="M76" s="467"/>
      <c r="N76" s="467"/>
      <c r="O76" s="467"/>
      <c r="P76" s="61"/>
      <c r="Q76" s="61"/>
      <c r="R76" s="61"/>
      <c r="S76" s="468"/>
      <c r="T76" s="468"/>
      <c r="U76" s="468"/>
      <c r="V76" s="468"/>
      <c r="W76" s="468"/>
      <c r="X76" s="441"/>
      <c r="Y76" s="441"/>
      <c r="Z76" s="441"/>
      <c r="AA76" s="441"/>
      <c r="AB76" s="441"/>
      <c r="AC76" s="441"/>
      <c r="AD76" s="441"/>
      <c r="AE76" s="441"/>
      <c r="AF76" s="441"/>
      <c r="AG76" s="441"/>
      <c r="AH76" s="61"/>
      <c r="AI76" s="61"/>
      <c r="AJ76" s="61"/>
      <c r="AK76" s="61"/>
      <c r="AL76" s="61"/>
      <c r="AM76" s="61"/>
      <c r="AN76" s="61"/>
      <c r="AO76" s="61"/>
      <c r="AP76" s="61"/>
      <c r="AQ76" s="61"/>
      <c r="AR76" s="61"/>
      <c r="AS76" s="61"/>
      <c r="AT76" s="61"/>
      <c r="AU76" s="61"/>
      <c r="AV76" s="61"/>
      <c r="AW76" s="61"/>
      <c r="AX76" s="61"/>
      <c r="AY76" s="61"/>
      <c r="AZ76" s="61"/>
      <c r="BA76" s="61"/>
      <c r="BB76" s="61"/>
      <c r="BC76" s="61"/>
      <c r="BD76" s="61"/>
      <c r="BE76" s="61"/>
      <c r="BF76" s="61"/>
      <c r="BG76" s="61"/>
      <c r="BH76" s="61"/>
      <c r="BI76" s="61"/>
      <c r="BJ76" s="61"/>
      <c r="BK76" s="61"/>
      <c r="BL76" s="61"/>
      <c r="BM76" s="61"/>
      <c r="BN76" s="61"/>
      <c r="BO76" s="61"/>
      <c r="BP76" s="61"/>
      <c r="BQ76" s="61"/>
      <c r="BR76" s="61"/>
      <c r="BS76" s="61"/>
      <c r="BT76" s="61"/>
      <c r="BU76" s="61"/>
      <c r="BV76" s="61"/>
      <c r="BW76" s="61"/>
      <c r="BX76" s="61"/>
      <c r="BY76" s="61"/>
      <c r="BZ76" s="61"/>
      <c r="CA76" s="61"/>
      <c r="CB76" s="61"/>
      <c r="CC76" s="61"/>
      <c r="CD76" s="61"/>
      <c r="CE76" s="61"/>
      <c r="CF76" s="61"/>
      <c r="CG76" s="61"/>
    </row>
    <row r="77" spans="1:85" ht="9.9" customHeight="1">
      <c r="A77" s="61"/>
      <c r="B77" s="61"/>
      <c r="C77" s="467"/>
      <c r="D77" s="467"/>
      <c r="E77" s="467"/>
      <c r="F77" s="467"/>
      <c r="G77" s="467"/>
      <c r="H77" s="467"/>
      <c r="I77" s="467"/>
      <c r="J77" s="467"/>
      <c r="K77" s="467"/>
      <c r="L77" s="467"/>
      <c r="M77" s="467"/>
      <c r="N77" s="467"/>
      <c r="O77" s="467"/>
      <c r="P77" s="61"/>
      <c r="Q77" s="61"/>
      <c r="R77" s="61"/>
      <c r="S77" s="468"/>
      <c r="T77" s="468"/>
      <c r="U77" s="468"/>
      <c r="V77" s="468"/>
      <c r="W77" s="468"/>
      <c r="X77" s="441"/>
      <c r="Y77" s="441"/>
      <c r="Z77" s="441"/>
      <c r="AA77" s="441"/>
      <c r="AB77" s="441"/>
      <c r="AC77" s="441"/>
      <c r="AD77" s="441"/>
      <c r="AE77" s="441"/>
      <c r="AF77" s="441"/>
      <c r="AG77" s="441"/>
      <c r="AH77" s="61"/>
      <c r="AI77" s="61"/>
      <c r="AJ77" s="61"/>
      <c r="AK77" s="61"/>
      <c r="AL77" s="61"/>
      <c r="AM77" s="61"/>
      <c r="AN77" s="61"/>
      <c r="AO77" s="61"/>
      <c r="AP77" s="61"/>
      <c r="AQ77" s="61"/>
      <c r="AR77" s="61"/>
      <c r="AS77" s="61"/>
      <c r="AT77" s="61"/>
      <c r="AU77" s="61"/>
      <c r="AV77" s="61"/>
      <c r="AW77" s="61"/>
      <c r="AX77" s="61"/>
      <c r="AY77" s="61"/>
      <c r="AZ77" s="61"/>
      <c r="BA77" s="61"/>
      <c r="BB77" s="61"/>
      <c r="BC77" s="61"/>
      <c r="BD77" s="61"/>
      <c r="BE77" s="61"/>
      <c r="BF77" s="61"/>
      <c r="BG77" s="61"/>
      <c r="BH77" s="61"/>
      <c r="BI77" s="61"/>
      <c r="BJ77" s="61"/>
      <c r="BK77" s="61"/>
      <c r="BL77" s="61"/>
      <c r="BM77" s="61"/>
      <c r="BN77" s="61"/>
      <c r="BO77" s="61"/>
      <c r="BP77" s="61"/>
      <c r="BQ77" s="61"/>
      <c r="BR77" s="61"/>
      <c r="BS77" s="61"/>
      <c r="BT77" s="61"/>
      <c r="BU77" s="61"/>
      <c r="BV77" s="61"/>
      <c r="BW77" s="61"/>
      <c r="BX77" s="61"/>
      <c r="BY77" s="61"/>
      <c r="BZ77" s="61"/>
      <c r="CA77" s="61"/>
      <c r="CB77" s="61"/>
      <c r="CC77" s="61"/>
      <c r="CD77" s="61"/>
      <c r="CE77" s="61"/>
      <c r="CF77" s="61"/>
      <c r="CG77" s="61"/>
    </row>
    <row r="78" spans="1:85" ht="5.0999999999999996" customHeight="1">
      <c r="A78" s="441"/>
      <c r="B78" s="441"/>
      <c r="C78" s="441"/>
      <c r="D78" s="441"/>
      <c r="E78" s="441"/>
      <c r="F78" s="441"/>
      <c r="G78" s="441"/>
      <c r="H78" s="441"/>
      <c r="I78" s="441"/>
      <c r="J78" s="441"/>
      <c r="K78" s="441"/>
      <c r="L78" s="441"/>
      <c r="M78" s="441"/>
      <c r="N78" s="441"/>
      <c r="O78" s="441"/>
      <c r="P78" s="441"/>
      <c r="Q78" s="441"/>
      <c r="R78" s="441"/>
      <c r="S78" s="441"/>
      <c r="T78" s="441"/>
      <c r="U78" s="441"/>
      <c r="V78" s="441"/>
      <c r="W78" s="441"/>
      <c r="X78" s="441"/>
      <c r="Y78" s="441"/>
      <c r="Z78" s="441"/>
      <c r="AA78" s="441"/>
      <c r="AB78" s="441"/>
      <c r="AC78" s="441"/>
      <c r="AD78" s="441"/>
      <c r="AE78" s="441"/>
      <c r="AF78" s="441"/>
      <c r="AG78" s="441"/>
      <c r="AH78" s="441"/>
      <c r="AI78" s="441"/>
      <c r="AJ78" s="441"/>
      <c r="AK78" s="441"/>
      <c r="AL78" s="61"/>
      <c r="AM78" s="61"/>
      <c r="AN78" s="61"/>
      <c r="AO78" s="61"/>
      <c r="AP78" s="61"/>
      <c r="AQ78" s="61"/>
      <c r="AR78" s="61"/>
      <c r="AS78" s="61"/>
      <c r="AT78" s="61"/>
      <c r="AU78" s="61"/>
      <c r="AV78" s="61"/>
      <c r="AW78" s="61"/>
      <c r="AX78" s="61"/>
      <c r="AY78" s="61"/>
      <c r="AZ78" s="61"/>
      <c r="BA78" s="61"/>
      <c r="BB78" s="61"/>
      <c r="BC78" s="61"/>
      <c r="BD78" s="61"/>
      <c r="BE78" s="61"/>
      <c r="BF78" s="61"/>
      <c r="BG78" s="61"/>
      <c r="BH78" s="61"/>
      <c r="BI78" s="61"/>
      <c r="BJ78" s="61"/>
      <c r="BK78" s="61"/>
      <c r="BL78" s="61"/>
      <c r="BM78" s="61"/>
      <c r="BN78" s="61"/>
      <c r="BO78" s="61"/>
      <c r="BP78" s="61"/>
      <c r="BQ78" s="61"/>
      <c r="BR78" s="61"/>
      <c r="BS78" s="61"/>
      <c r="BT78" s="61"/>
      <c r="BU78" s="61"/>
      <c r="BV78" s="61"/>
      <c r="BW78" s="61"/>
      <c r="BX78" s="61"/>
      <c r="BY78" s="61"/>
      <c r="BZ78" s="61"/>
      <c r="CA78" s="61"/>
      <c r="CB78" s="61"/>
      <c r="CC78" s="61"/>
      <c r="CD78" s="61"/>
      <c r="CE78" s="61"/>
      <c r="CF78" s="61"/>
      <c r="CG78" s="61"/>
    </row>
    <row r="79" spans="1:85" ht="9.9" customHeight="1">
      <c r="A79" s="441"/>
      <c r="B79" s="441"/>
      <c r="C79" s="441"/>
      <c r="D79" s="441"/>
      <c r="E79" s="441"/>
      <c r="F79" s="441"/>
      <c r="G79" s="441"/>
      <c r="H79" s="441"/>
      <c r="I79" s="441"/>
      <c r="J79" s="441"/>
      <c r="K79" s="441"/>
      <c r="L79" s="441"/>
      <c r="M79" s="441"/>
      <c r="N79" s="441"/>
      <c r="O79" s="441"/>
      <c r="P79" s="441"/>
      <c r="Q79" s="441"/>
      <c r="R79" s="441"/>
      <c r="S79" s="441"/>
      <c r="T79" s="441"/>
      <c r="U79" s="441"/>
      <c r="V79" s="441"/>
      <c r="W79" s="441"/>
      <c r="X79" s="441"/>
      <c r="Y79" s="441"/>
      <c r="Z79" s="441"/>
      <c r="AA79" s="441"/>
      <c r="AB79" s="441"/>
      <c r="AC79" s="441"/>
      <c r="AD79" s="441"/>
      <c r="AE79" s="441"/>
      <c r="AF79" s="441"/>
      <c r="AG79" s="441"/>
      <c r="AH79" s="441"/>
      <c r="AI79" s="441"/>
      <c r="AJ79" s="441"/>
      <c r="AK79" s="441"/>
      <c r="AL79" s="61"/>
      <c r="AM79" s="61"/>
      <c r="AN79" s="61"/>
      <c r="AO79" s="61"/>
      <c r="AP79" s="61"/>
      <c r="AQ79" s="61"/>
      <c r="AR79" s="61"/>
      <c r="AS79" s="61"/>
      <c r="AT79" s="61"/>
      <c r="AU79" s="61"/>
      <c r="AV79" s="61"/>
      <c r="AW79" s="61"/>
      <c r="AX79" s="61"/>
      <c r="AY79" s="61"/>
      <c r="AZ79" s="61"/>
      <c r="BA79" s="61"/>
      <c r="BB79" s="61"/>
      <c r="BC79" s="61"/>
      <c r="BD79" s="61"/>
      <c r="BE79" s="61"/>
      <c r="BF79" s="61"/>
      <c r="BG79" s="61"/>
      <c r="BH79" s="61"/>
      <c r="BI79" s="61"/>
      <c r="BJ79" s="61"/>
      <c r="BK79" s="61"/>
      <c r="BL79" s="61"/>
      <c r="BM79" s="61"/>
      <c r="BN79" s="61"/>
      <c r="BO79" s="61"/>
      <c r="BP79" s="61"/>
      <c r="BQ79" s="61"/>
      <c r="BR79" s="61"/>
      <c r="BS79" s="61"/>
      <c r="BT79" s="61"/>
      <c r="BU79" s="61"/>
      <c r="BV79" s="61"/>
      <c r="BW79" s="61"/>
      <c r="BX79" s="61"/>
      <c r="BY79" s="61"/>
      <c r="BZ79" s="61"/>
      <c r="CA79" s="61"/>
      <c r="CB79" s="61"/>
      <c r="CC79" s="61"/>
      <c r="CD79" s="61"/>
      <c r="CE79" s="61"/>
      <c r="CF79" s="61"/>
      <c r="CG79" s="61"/>
    </row>
    <row r="80" spans="1:85" ht="5.0999999999999996" customHeight="1">
      <c r="A80" s="441"/>
      <c r="B80" s="441"/>
      <c r="C80" s="441"/>
      <c r="D80" s="441"/>
      <c r="E80" s="441"/>
      <c r="F80" s="441"/>
      <c r="G80" s="441"/>
      <c r="H80" s="441"/>
      <c r="I80" s="441"/>
      <c r="J80" s="441"/>
      <c r="K80" s="441"/>
      <c r="L80" s="441"/>
      <c r="M80" s="441"/>
      <c r="N80" s="441"/>
      <c r="O80" s="441"/>
      <c r="P80" s="441"/>
      <c r="Q80" s="441"/>
      <c r="R80" s="441"/>
      <c r="S80" s="441"/>
      <c r="T80" s="441"/>
      <c r="U80" s="441"/>
      <c r="V80" s="441"/>
      <c r="W80" s="441"/>
      <c r="X80" s="441"/>
      <c r="Y80" s="441"/>
      <c r="Z80" s="441"/>
      <c r="AA80" s="441"/>
      <c r="AB80" s="441"/>
      <c r="AC80" s="441"/>
      <c r="AD80" s="441"/>
      <c r="AE80" s="441"/>
      <c r="AF80" s="441"/>
      <c r="AG80" s="441"/>
      <c r="AH80" s="441"/>
      <c r="AI80" s="441"/>
      <c r="AJ80" s="441"/>
      <c r="AK80" s="441"/>
      <c r="AL80" s="61"/>
      <c r="AM80" s="61"/>
      <c r="AN80" s="61"/>
      <c r="AO80" s="61"/>
      <c r="AP80" s="61"/>
      <c r="AQ80" s="61"/>
      <c r="AR80" s="61"/>
      <c r="AS80" s="61"/>
      <c r="AT80" s="61"/>
      <c r="AU80" s="61"/>
      <c r="AV80" s="61"/>
      <c r="AW80" s="61"/>
      <c r="AX80" s="61"/>
      <c r="AY80" s="61"/>
      <c r="AZ80" s="61"/>
      <c r="BA80" s="61"/>
      <c r="BB80" s="61"/>
      <c r="BC80" s="61"/>
      <c r="BD80" s="61"/>
      <c r="BE80" s="61"/>
      <c r="BF80" s="61"/>
      <c r="BG80" s="61"/>
      <c r="BH80" s="61"/>
      <c r="BI80" s="61"/>
      <c r="BJ80" s="61"/>
      <c r="BK80" s="61"/>
      <c r="BL80" s="61"/>
      <c r="BM80" s="61"/>
      <c r="BN80" s="61"/>
      <c r="BO80" s="61"/>
      <c r="BP80" s="61"/>
      <c r="BQ80" s="61"/>
      <c r="BR80" s="61"/>
      <c r="BS80" s="61"/>
      <c r="BT80" s="61"/>
      <c r="BU80" s="61"/>
      <c r="BV80" s="61"/>
      <c r="BW80" s="61"/>
      <c r="BX80" s="61"/>
      <c r="BY80" s="61"/>
      <c r="BZ80" s="61"/>
      <c r="CA80" s="61"/>
      <c r="CB80" s="61"/>
      <c r="CC80" s="61"/>
      <c r="CD80" s="61"/>
      <c r="CE80" s="61"/>
      <c r="CF80" s="61"/>
      <c r="CG80" s="61"/>
    </row>
    <row r="81" spans="1:85" ht="9.9" customHeight="1">
      <c r="A81" s="441"/>
      <c r="B81" s="441"/>
      <c r="C81" s="441"/>
      <c r="D81" s="441"/>
      <c r="E81" s="441"/>
      <c r="F81" s="441"/>
      <c r="G81" s="441"/>
      <c r="H81" s="441"/>
      <c r="I81" s="441"/>
      <c r="J81" s="441"/>
      <c r="K81" s="441"/>
      <c r="L81" s="441"/>
      <c r="M81" s="441"/>
      <c r="N81" s="441"/>
      <c r="O81" s="441"/>
      <c r="P81" s="441"/>
      <c r="Q81" s="441"/>
      <c r="R81" s="441"/>
      <c r="S81" s="441"/>
      <c r="T81" s="441"/>
      <c r="U81" s="441"/>
      <c r="V81" s="441"/>
      <c r="W81" s="441"/>
      <c r="X81" s="441"/>
      <c r="Y81" s="441"/>
      <c r="Z81" s="441"/>
      <c r="AA81" s="441"/>
      <c r="AB81" s="441"/>
      <c r="AC81" s="441"/>
      <c r="AD81" s="441"/>
      <c r="AE81" s="441"/>
      <c r="AF81" s="441"/>
      <c r="AG81" s="441"/>
      <c r="AH81" s="441"/>
      <c r="AI81" s="441"/>
      <c r="AJ81" s="441"/>
      <c r="AK81" s="441"/>
      <c r="AL81" s="61"/>
      <c r="AM81" s="61"/>
      <c r="AN81" s="61"/>
      <c r="AO81" s="61"/>
      <c r="AP81" s="61"/>
      <c r="AQ81" s="61"/>
      <c r="AR81" s="61"/>
      <c r="AS81" s="61"/>
      <c r="AT81" s="61"/>
      <c r="AU81" s="61"/>
      <c r="AV81" s="61"/>
      <c r="AW81" s="61"/>
      <c r="AX81" s="61"/>
      <c r="AY81" s="61"/>
      <c r="AZ81" s="61"/>
      <c r="BA81" s="61"/>
      <c r="BB81" s="61"/>
      <c r="BC81" s="61"/>
      <c r="BD81" s="61"/>
      <c r="BE81" s="61"/>
      <c r="BF81" s="61"/>
      <c r="BG81" s="61"/>
      <c r="BH81" s="61"/>
      <c r="BI81" s="61"/>
      <c r="BJ81" s="61"/>
      <c r="BK81" s="61"/>
      <c r="BL81" s="61"/>
      <c r="BM81" s="61"/>
      <c r="BN81" s="61"/>
      <c r="BO81" s="61"/>
      <c r="BP81" s="61"/>
      <c r="BQ81" s="61"/>
      <c r="BR81" s="61"/>
      <c r="BS81" s="61"/>
      <c r="BT81" s="61"/>
      <c r="BU81" s="61"/>
      <c r="BV81" s="61"/>
      <c r="BW81" s="61"/>
      <c r="BX81" s="61"/>
      <c r="BY81" s="61"/>
      <c r="BZ81" s="61"/>
      <c r="CA81" s="61"/>
      <c r="CB81" s="61"/>
      <c r="CC81" s="61"/>
      <c r="CD81" s="61"/>
      <c r="CE81" s="61"/>
      <c r="CF81" s="61"/>
      <c r="CG81" s="61"/>
    </row>
    <row r="82" spans="1:85" ht="5.0999999999999996" customHeight="1">
      <c r="A82" s="441"/>
      <c r="B82" s="441"/>
      <c r="C82" s="441"/>
      <c r="D82" s="441"/>
      <c r="E82" s="441"/>
      <c r="F82" s="441"/>
      <c r="G82" s="441"/>
      <c r="H82" s="441"/>
      <c r="I82" s="441"/>
      <c r="J82" s="441"/>
      <c r="K82" s="441"/>
      <c r="L82" s="441"/>
      <c r="M82" s="441"/>
      <c r="N82" s="441"/>
      <c r="O82" s="441"/>
      <c r="P82" s="441"/>
      <c r="Q82" s="441"/>
      <c r="R82" s="441"/>
      <c r="S82" s="441"/>
      <c r="T82" s="441"/>
      <c r="U82" s="441"/>
      <c r="V82" s="441"/>
      <c r="W82" s="441"/>
      <c r="X82" s="441"/>
      <c r="Y82" s="441"/>
      <c r="Z82" s="441"/>
      <c r="AA82" s="441"/>
      <c r="AB82" s="441"/>
      <c r="AC82" s="441"/>
      <c r="AD82" s="441"/>
      <c r="AE82" s="441"/>
      <c r="AF82" s="441"/>
      <c r="AG82" s="441"/>
      <c r="AH82" s="441"/>
      <c r="AI82" s="441"/>
      <c r="AJ82" s="441"/>
      <c r="AK82" s="441"/>
      <c r="AL82" s="61"/>
      <c r="AM82" s="61"/>
      <c r="AN82" s="61"/>
      <c r="AO82" s="61"/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  <c r="BD82" s="61"/>
      <c r="BE82" s="61"/>
      <c r="BF82" s="61"/>
      <c r="BG82" s="61"/>
      <c r="BH82" s="61"/>
      <c r="BI82" s="61"/>
      <c r="BJ82" s="61"/>
      <c r="BK82" s="61"/>
      <c r="BL82" s="61"/>
      <c r="BM82" s="61"/>
      <c r="BN82" s="61"/>
      <c r="BO82" s="61"/>
      <c r="BP82" s="61"/>
      <c r="BQ82" s="61"/>
      <c r="BR82" s="61"/>
      <c r="BS82" s="61"/>
      <c r="BT82" s="61"/>
      <c r="BU82" s="61"/>
      <c r="BV82" s="61"/>
      <c r="BW82" s="61"/>
      <c r="BX82" s="61"/>
      <c r="BY82" s="61"/>
      <c r="BZ82" s="61"/>
      <c r="CA82" s="61"/>
      <c r="CB82" s="61"/>
      <c r="CC82" s="61"/>
      <c r="CD82" s="61"/>
      <c r="CE82" s="61"/>
      <c r="CF82" s="61"/>
      <c r="CG82" s="61"/>
    </row>
    <row r="83" spans="1:85" ht="9.9" customHeight="1">
      <c r="A83" s="441"/>
      <c r="B83" s="441"/>
      <c r="C83" s="441"/>
      <c r="D83" s="441"/>
      <c r="E83" s="441"/>
      <c r="F83" s="441"/>
      <c r="G83" s="441"/>
      <c r="H83" s="441"/>
      <c r="I83" s="441"/>
      <c r="J83" s="441"/>
      <c r="K83" s="441"/>
      <c r="L83" s="441"/>
      <c r="M83" s="441"/>
      <c r="N83" s="441"/>
      <c r="O83" s="441"/>
      <c r="P83" s="441"/>
      <c r="Q83" s="441"/>
      <c r="R83" s="441"/>
      <c r="S83" s="441"/>
      <c r="T83" s="441"/>
      <c r="U83" s="441"/>
      <c r="V83" s="441"/>
      <c r="W83" s="441"/>
      <c r="X83" s="441"/>
      <c r="Y83" s="441"/>
      <c r="Z83" s="441"/>
      <c r="AA83" s="441"/>
      <c r="AB83" s="441"/>
      <c r="AC83" s="441"/>
      <c r="AD83" s="441"/>
      <c r="AE83" s="441"/>
      <c r="AF83" s="441"/>
      <c r="AG83" s="441"/>
      <c r="AH83" s="441"/>
      <c r="AI83" s="441"/>
      <c r="AJ83" s="441"/>
      <c r="AK83" s="441"/>
      <c r="AL83" s="61"/>
      <c r="AM83" s="61"/>
      <c r="AN83" s="61"/>
      <c r="AO83" s="61"/>
      <c r="AP83" s="61"/>
      <c r="AQ83" s="61"/>
      <c r="AR83" s="61"/>
      <c r="AS83" s="61"/>
      <c r="AT83" s="61"/>
      <c r="AU83" s="61"/>
      <c r="AV83" s="61"/>
      <c r="AW83" s="61"/>
      <c r="AX83" s="61"/>
      <c r="AY83" s="61"/>
      <c r="AZ83" s="61"/>
      <c r="BA83" s="61"/>
      <c r="BB83" s="61"/>
      <c r="BC83" s="61"/>
      <c r="BD83" s="61"/>
      <c r="BE83" s="61"/>
      <c r="BF83" s="61"/>
      <c r="BG83" s="61"/>
      <c r="BH83" s="61"/>
      <c r="BI83" s="61"/>
      <c r="BJ83" s="61"/>
      <c r="BK83" s="61"/>
      <c r="BL83" s="61"/>
      <c r="BM83" s="61"/>
      <c r="BN83" s="61"/>
      <c r="BO83" s="61"/>
      <c r="BP83" s="61"/>
      <c r="BQ83" s="61"/>
      <c r="BR83" s="61"/>
      <c r="BS83" s="61"/>
      <c r="BT83" s="61"/>
      <c r="BU83" s="61"/>
      <c r="BV83" s="61"/>
      <c r="BW83" s="61"/>
      <c r="BX83" s="61"/>
      <c r="BY83" s="61"/>
      <c r="BZ83" s="61"/>
      <c r="CA83" s="61"/>
      <c r="CB83" s="61"/>
      <c r="CC83" s="61"/>
      <c r="CD83" s="61"/>
      <c r="CE83" s="61"/>
      <c r="CF83" s="61"/>
      <c r="CG83" s="61"/>
    </row>
    <row r="84" spans="1:85" ht="5.0999999999999996" customHeight="1">
      <c r="A84" s="61"/>
      <c r="B84" s="61"/>
      <c r="C84" s="467"/>
      <c r="D84" s="467"/>
      <c r="E84" s="467"/>
      <c r="F84" s="467"/>
      <c r="G84" s="467"/>
      <c r="H84" s="467"/>
      <c r="I84" s="467"/>
      <c r="J84" s="467"/>
      <c r="K84" s="467"/>
      <c r="L84" s="467"/>
      <c r="M84" s="467"/>
      <c r="N84" s="467"/>
      <c r="O84" s="467"/>
      <c r="P84" s="61"/>
      <c r="Q84" s="61"/>
      <c r="R84" s="61"/>
      <c r="S84" s="468"/>
      <c r="T84" s="468"/>
      <c r="U84" s="468"/>
      <c r="V84" s="468"/>
      <c r="W84" s="468"/>
      <c r="X84" s="441"/>
      <c r="Y84" s="441"/>
      <c r="Z84" s="441"/>
      <c r="AA84" s="441"/>
      <c r="AB84" s="441"/>
      <c r="AC84" s="441"/>
      <c r="AD84" s="441"/>
      <c r="AE84" s="441"/>
      <c r="AF84" s="441"/>
      <c r="AG84" s="441"/>
      <c r="AH84" s="61"/>
      <c r="AI84" s="61"/>
      <c r="AJ84" s="61"/>
      <c r="AK84" s="61"/>
      <c r="AL84" s="61"/>
      <c r="AM84" s="61"/>
      <c r="AN84" s="61"/>
      <c r="AO84" s="61"/>
      <c r="AP84" s="61"/>
      <c r="AQ84" s="61"/>
      <c r="AR84" s="61"/>
      <c r="AS84" s="61"/>
      <c r="AT84" s="61"/>
      <c r="AU84" s="61"/>
      <c r="AV84" s="61"/>
      <c r="AW84" s="61"/>
      <c r="AX84" s="61"/>
      <c r="AY84" s="61"/>
      <c r="AZ84" s="61"/>
      <c r="BA84" s="61"/>
      <c r="BB84" s="61"/>
      <c r="BC84" s="61"/>
      <c r="BD84" s="61"/>
      <c r="BE84" s="61"/>
      <c r="BF84" s="61"/>
      <c r="BG84" s="61"/>
      <c r="BH84" s="61"/>
      <c r="BI84" s="61"/>
      <c r="BJ84" s="61"/>
      <c r="BK84" s="61"/>
      <c r="BL84" s="61"/>
      <c r="BM84" s="61"/>
      <c r="BN84" s="61"/>
      <c r="BO84" s="61"/>
      <c r="BP84" s="61"/>
      <c r="BQ84" s="61"/>
      <c r="BR84" s="61"/>
      <c r="BS84" s="61"/>
      <c r="BT84" s="61"/>
      <c r="BU84" s="61"/>
      <c r="BV84" s="61"/>
      <c r="BW84" s="61"/>
      <c r="BX84" s="61"/>
      <c r="BY84" s="61"/>
      <c r="BZ84" s="61"/>
      <c r="CA84" s="61"/>
      <c r="CB84" s="61"/>
      <c r="CC84" s="61"/>
      <c r="CD84" s="61"/>
      <c r="CE84" s="61"/>
      <c r="CF84" s="61"/>
      <c r="CG84" s="61"/>
    </row>
    <row r="85" spans="1:85" ht="9.9" customHeight="1">
      <c r="A85" s="61"/>
      <c r="B85" s="61"/>
      <c r="C85" s="467"/>
      <c r="D85" s="467"/>
      <c r="E85" s="467"/>
      <c r="F85" s="467"/>
      <c r="G85" s="467"/>
      <c r="H85" s="467"/>
      <c r="I85" s="467"/>
      <c r="J85" s="467"/>
      <c r="K85" s="467"/>
      <c r="L85" s="467"/>
      <c r="M85" s="467"/>
      <c r="N85" s="467"/>
      <c r="O85" s="467"/>
      <c r="P85" s="61"/>
      <c r="Q85" s="61"/>
      <c r="R85" s="61"/>
      <c r="S85" s="468"/>
      <c r="T85" s="468"/>
      <c r="U85" s="468"/>
      <c r="V85" s="468"/>
      <c r="W85" s="468"/>
      <c r="X85" s="441"/>
      <c r="Y85" s="441"/>
      <c r="Z85" s="441"/>
      <c r="AA85" s="441"/>
      <c r="AB85" s="441"/>
      <c r="AC85" s="441"/>
      <c r="AD85" s="441"/>
      <c r="AE85" s="441"/>
      <c r="AF85" s="441"/>
      <c r="AG85" s="441"/>
      <c r="AH85" s="61"/>
      <c r="AI85" s="61"/>
      <c r="AJ85" s="61"/>
      <c r="AK85" s="61"/>
      <c r="AL85" s="61"/>
      <c r="AM85" s="61"/>
      <c r="AN85" s="61"/>
      <c r="AO85" s="61"/>
      <c r="AP85" s="61"/>
      <c r="AQ85" s="61"/>
      <c r="AR85" s="61"/>
      <c r="AS85" s="61"/>
      <c r="AT85" s="61"/>
      <c r="AU85" s="61"/>
      <c r="AV85" s="61"/>
      <c r="AW85" s="61"/>
      <c r="AX85" s="61"/>
      <c r="AY85" s="61"/>
      <c r="AZ85" s="61"/>
      <c r="BA85" s="61"/>
      <c r="BB85" s="61"/>
      <c r="BC85" s="61"/>
      <c r="BD85" s="61"/>
      <c r="BE85" s="61"/>
      <c r="BF85" s="61"/>
      <c r="BG85" s="61"/>
      <c r="BH85" s="61"/>
      <c r="BI85" s="61"/>
      <c r="BJ85" s="61"/>
      <c r="BK85" s="61"/>
      <c r="BL85" s="61"/>
      <c r="BM85" s="61"/>
      <c r="BN85" s="61"/>
      <c r="BO85" s="61"/>
      <c r="BP85" s="61"/>
      <c r="BQ85" s="61"/>
      <c r="BR85" s="61"/>
      <c r="BS85" s="61"/>
      <c r="BT85" s="61"/>
      <c r="BU85" s="61"/>
      <c r="BV85" s="61"/>
      <c r="BW85" s="61"/>
      <c r="BX85" s="61"/>
      <c r="BY85" s="61"/>
      <c r="BZ85" s="61"/>
      <c r="CA85" s="61"/>
      <c r="CB85" s="61"/>
      <c r="CC85" s="61"/>
      <c r="CD85" s="61"/>
      <c r="CE85" s="61"/>
      <c r="CF85" s="61"/>
      <c r="CG85" s="61"/>
    </row>
    <row r="86" spans="1:85" ht="5.0999999999999996" customHeight="1">
      <c r="A86" s="61"/>
      <c r="B86" s="61"/>
      <c r="C86" s="467"/>
      <c r="D86" s="467"/>
      <c r="E86" s="467"/>
      <c r="F86" s="467"/>
      <c r="G86" s="467"/>
      <c r="H86" s="467"/>
      <c r="I86" s="467"/>
      <c r="J86" s="467"/>
      <c r="K86" s="467"/>
      <c r="L86" s="467"/>
      <c r="M86" s="467"/>
      <c r="N86" s="467"/>
      <c r="O86" s="467"/>
      <c r="P86" s="61"/>
      <c r="Q86" s="61"/>
      <c r="R86" s="61"/>
      <c r="S86" s="468"/>
      <c r="T86" s="468"/>
      <c r="U86" s="468"/>
      <c r="V86" s="468"/>
      <c r="W86" s="468"/>
      <c r="X86" s="441"/>
      <c r="Y86" s="441"/>
      <c r="Z86" s="441"/>
      <c r="AA86" s="441"/>
      <c r="AB86" s="441"/>
      <c r="AC86" s="441"/>
      <c r="AD86" s="441"/>
      <c r="AE86" s="441"/>
      <c r="AF86" s="441"/>
      <c r="AG86" s="441"/>
      <c r="AH86" s="61"/>
      <c r="AI86" s="61"/>
      <c r="AJ86" s="61"/>
      <c r="AK86" s="61"/>
      <c r="AL86" s="61"/>
      <c r="AM86" s="61"/>
      <c r="AN86" s="61"/>
      <c r="AO86" s="61"/>
      <c r="AP86" s="61"/>
      <c r="AQ86" s="61"/>
      <c r="AR86" s="61"/>
      <c r="AS86" s="61"/>
      <c r="AT86" s="61"/>
      <c r="AU86" s="61"/>
      <c r="AV86" s="61"/>
      <c r="AW86" s="61"/>
      <c r="AX86" s="61"/>
      <c r="AY86" s="61"/>
      <c r="AZ86" s="61"/>
      <c r="BA86" s="61"/>
      <c r="BB86" s="61"/>
      <c r="BC86" s="61"/>
      <c r="BD86" s="61"/>
      <c r="BE86" s="61"/>
      <c r="BF86" s="61"/>
      <c r="BG86" s="61"/>
      <c r="BH86" s="61"/>
      <c r="BI86" s="61"/>
      <c r="BJ86" s="61"/>
      <c r="BK86" s="61"/>
      <c r="BL86" s="61"/>
      <c r="BM86" s="61"/>
      <c r="BN86" s="61"/>
      <c r="BO86" s="61"/>
      <c r="BP86" s="61"/>
      <c r="BQ86" s="61"/>
      <c r="BR86" s="61"/>
      <c r="BS86" s="61"/>
      <c r="BT86" s="61"/>
      <c r="BU86" s="61"/>
      <c r="BV86" s="61"/>
      <c r="BW86" s="61"/>
      <c r="BX86" s="61"/>
      <c r="BY86" s="61"/>
      <c r="BZ86" s="61"/>
      <c r="CA86" s="61"/>
      <c r="CB86" s="61"/>
      <c r="CC86" s="61"/>
      <c r="CD86" s="61"/>
      <c r="CE86" s="61"/>
      <c r="CF86" s="61"/>
      <c r="CG86" s="61"/>
    </row>
    <row r="87" spans="1:85" ht="9.9" customHeight="1">
      <c r="A87" s="61"/>
      <c r="B87" s="61"/>
      <c r="C87" s="467"/>
      <c r="D87" s="467"/>
      <c r="E87" s="467"/>
      <c r="F87" s="467"/>
      <c r="G87" s="467"/>
      <c r="H87" s="467"/>
      <c r="I87" s="467"/>
      <c r="J87" s="467"/>
      <c r="K87" s="467"/>
      <c r="L87" s="467"/>
      <c r="M87" s="467"/>
      <c r="N87" s="467"/>
      <c r="O87" s="467"/>
      <c r="P87" s="61"/>
      <c r="Q87" s="61"/>
      <c r="R87" s="61"/>
      <c r="S87" s="468"/>
      <c r="T87" s="468"/>
      <c r="U87" s="468"/>
      <c r="V87" s="468"/>
      <c r="W87" s="468"/>
      <c r="X87" s="441"/>
      <c r="Y87" s="441"/>
      <c r="Z87" s="441"/>
      <c r="AA87" s="441"/>
      <c r="AB87" s="441"/>
      <c r="AC87" s="441"/>
      <c r="AD87" s="441"/>
      <c r="AE87" s="441"/>
      <c r="AF87" s="441"/>
      <c r="AG87" s="441"/>
      <c r="AH87" s="61"/>
      <c r="AI87" s="61"/>
      <c r="AJ87" s="61"/>
      <c r="AK87" s="61"/>
      <c r="AL87" s="61"/>
      <c r="AM87" s="61"/>
      <c r="AN87" s="61"/>
      <c r="AO87" s="61"/>
      <c r="AP87" s="61"/>
      <c r="AQ87" s="61"/>
      <c r="AR87" s="61"/>
      <c r="AS87" s="61"/>
      <c r="AT87" s="61"/>
      <c r="AU87" s="61"/>
      <c r="AV87" s="61"/>
      <c r="AW87" s="61"/>
      <c r="AX87" s="61"/>
      <c r="AY87" s="61"/>
      <c r="AZ87" s="61"/>
      <c r="BA87" s="61"/>
      <c r="BB87" s="61"/>
      <c r="BC87" s="61"/>
      <c r="BD87" s="61"/>
      <c r="BE87" s="61"/>
      <c r="BF87" s="61"/>
      <c r="BG87" s="61"/>
      <c r="BH87" s="61"/>
      <c r="BI87" s="61"/>
      <c r="BJ87" s="61"/>
      <c r="BK87" s="61"/>
      <c r="BL87" s="61"/>
      <c r="BM87" s="61"/>
      <c r="BN87" s="61"/>
      <c r="BO87" s="61"/>
      <c r="BP87" s="61"/>
      <c r="BQ87" s="61"/>
      <c r="BR87" s="61"/>
      <c r="BS87" s="61"/>
      <c r="BT87" s="61"/>
      <c r="BU87" s="61"/>
      <c r="BV87" s="61"/>
      <c r="BW87" s="61"/>
      <c r="BX87" s="61"/>
      <c r="BY87" s="61"/>
      <c r="BZ87" s="61"/>
      <c r="CA87" s="61"/>
      <c r="CB87" s="61"/>
      <c r="CC87" s="61"/>
      <c r="CD87" s="61"/>
      <c r="CE87" s="61"/>
      <c r="CF87" s="61"/>
      <c r="CG87" s="61"/>
    </row>
    <row r="88" spans="1:85" ht="5.0999999999999996" customHeight="1">
      <c r="A88" s="61"/>
      <c r="B88" s="61"/>
      <c r="C88" s="467"/>
      <c r="D88" s="467"/>
      <c r="E88" s="467"/>
      <c r="F88" s="467"/>
      <c r="G88" s="467"/>
      <c r="H88" s="467"/>
      <c r="I88" s="467"/>
      <c r="J88" s="467"/>
      <c r="K88" s="467"/>
      <c r="L88" s="467"/>
      <c r="M88" s="467"/>
      <c r="N88" s="467"/>
      <c r="O88" s="467"/>
      <c r="P88" s="61"/>
      <c r="Q88" s="61"/>
      <c r="R88" s="61"/>
      <c r="S88" s="468"/>
      <c r="T88" s="468"/>
      <c r="U88" s="468"/>
      <c r="V88" s="468"/>
      <c r="W88" s="468"/>
      <c r="X88" s="441"/>
      <c r="Y88" s="441"/>
      <c r="Z88" s="441"/>
      <c r="AA88" s="441"/>
      <c r="AB88" s="441"/>
      <c r="AC88" s="441"/>
      <c r="AD88" s="441"/>
      <c r="AE88" s="441"/>
      <c r="AF88" s="441"/>
      <c r="AG88" s="441"/>
      <c r="AH88" s="61"/>
      <c r="AI88" s="61"/>
      <c r="AJ88" s="61"/>
      <c r="AK88" s="61"/>
      <c r="AL88" s="61"/>
      <c r="AM88" s="61"/>
      <c r="AN88" s="61"/>
      <c r="AO88" s="61"/>
      <c r="AP88" s="61"/>
      <c r="AQ88" s="61"/>
      <c r="AR88" s="61"/>
      <c r="AS88" s="61"/>
      <c r="AT88" s="61"/>
      <c r="AU88" s="61"/>
      <c r="AV88" s="61"/>
      <c r="AW88" s="61"/>
      <c r="AX88" s="61"/>
      <c r="AY88" s="61"/>
      <c r="AZ88" s="61"/>
      <c r="BA88" s="61"/>
      <c r="BB88" s="61"/>
      <c r="BC88" s="61"/>
      <c r="BD88" s="61"/>
      <c r="BE88" s="61"/>
      <c r="BF88" s="61"/>
      <c r="BG88" s="61"/>
      <c r="BH88" s="61"/>
      <c r="BI88" s="61"/>
      <c r="BJ88" s="61"/>
      <c r="BK88" s="61"/>
      <c r="BL88" s="61"/>
      <c r="BM88" s="61"/>
      <c r="BN88" s="61"/>
      <c r="BO88" s="61"/>
      <c r="BP88" s="61"/>
      <c r="BQ88" s="61"/>
      <c r="BR88" s="61"/>
      <c r="BS88" s="61"/>
      <c r="BT88" s="61"/>
      <c r="BU88" s="61"/>
      <c r="BV88" s="61"/>
      <c r="BW88" s="61"/>
      <c r="BX88" s="61"/>
      <c r="BY88" s="61"/>
      <c r="BZ88" s="61"/>
      <c r="CA88" s="61"/>
      <c r="CB88" s="61"/>
      <c r="CC88" s="61"/>
      <c r="CD88" s="61"/>
      <c r="CE88" s="61"/>
      <c r="CF88" s="61"/>
      <c r="CG88" s="61"/>
    </row>
    <row r="89" spans="1:85" ht="9.9" customHeight="1">
      <c r="A89" s="61"/>
      <c r="B89" s="61"/>
      <c r="C89" s="467"/>
      <c r="D89" s="467"/>
      <c r="E89" s="467"/>
      <c r="F89" s="467"/>
      <c r="G89" s="467"/>
      <c r="H89" s="467"/>
      <c r="I89" s="467"/>
      <c r="J89" s="467"/>
      <c r="K89" s="467"/>
      <c r="L89" s="467"/>
      <c r="M89" s="467"/>
      <c r="N89" s="467"/>
      <c r="O89" s="467"/>
      <c r="P89" s="61"/>
      <c r="Q89" s="61"/>
      <c r="R89" s="61"/>
      <c r="S89" s="468"/>
      <c r="T89" s="468"/>
      <c r="U89" s="468"/>
      <c r="V89" s="468"/>
      <c r="W89" s="468"/>
      <c r="X89" s="441"/>
      <c r="Y89" s="441"/>
      <c r="Z89" s="441"/>
      <c r="AA89" s="441"/>
      <c r="AB89" s="441"/>
      <c r="AC89" s="441"/>
      <c r="AD89" s="441"/>
      <c r="AE89" s="441"/>
      <c r="AF89" s="441"/>
      <c r="AG89" s="441"/>
      <c r="AH89" s="61"/>
      <c r="AI89" s="61"/>
      <c r="AJ89" s="61"/>
      <c r="AK89" s="61"/>
      <c r="AL89" s="61"/>
      <c r="AM89" s="61"/>
      <c r="AN89" s="61"/>
      <c r="AO89" s="61"/>
      <c r="AP89" s="61"/>
      <c r="AQ89" s="61"/>
      <c r="AR89" s="61"/>
      <c r="AS89" s="61"/>
      <c r="AT89" s="61"/>
      <c r="AU89" s="61"/>
      <c r="AV89" s="61"/>
      <c r="AW89" s="61"/>
      <c r="AX89" s="61"/>
      <c r="AY89" s="61"/>
      <c r="AZ89" s="61"/>
      <c r="BA89" s="61"/>
      <c r="BB89" s="61"/>
      <c r="BC89" s="61"/>
      <c r="BD89" s="61"/>
      <c r="BE89" s="61"/>
      <c r="BF89" s="61"/>
      <c r="BG89" s="61"/>
      <c r="BH89" s="61"/>
      <c r="BI89" s="61"/>
      <c r="BJ89" s="61"/>
      <c r="BK89" s="61"/>
      <c r="BL89" s="61"/>
      <c r="BM89" s="61"/>
      <c r="BN89" s="61"/>
      <c r="BO89" s="61"/>
      <c r="BP89" s="61"/>
      <c r="BQ89" s="61"/>
      <c r="BR89" s="61"/>
      <c r="BS89" s="61"/>
      <c r="BT89" s="61"/>
      <c r="BU89" s="61"/>
      <c r="BV89" s="61"/>
      <c r="BW89" s="61"/>
      <c r="BX89" s="61"/>
      <c r="BY89" s="61"/>
      <c r="BZ89" s="61"/>
      <c r="CA89" s="61"/>
      <c r="CB89" s="61"/>
      <c r="CC89" s="61"/>
      <c r="CD89" s="61"/>
      <c r="CE89" s="61"/>
      <c r="CF89" s="61"/>
      <c r="CG89" s="61"/>
    </row>
    <row r="90" spans="1:85" ht="5.0999999999999996" customHeight="1">
      <c r="A90" s="61"/>
      <c r="B90" s="61"/>
      <c r="C90" s="467"/>
      <c r="D90" s="467"/>
      <c r="E90" s="467"/>
      <c r="F90" s="467"/>
      <c r="G90" s="467"/>
      <c r="H90" s="467"/>
      <c r="I90" s="467"/>
      <c r="J90" s="467"/>
      <c r="K90" s="467"/>
      <c r="L90" s="467"/>
      <c r="M90" s="467"/>
      <c r="N90" s="467"/>
      <c r="O90" s="467"/>
      <c r="P90" s="61"/>
      <c r="Q90" s="61"/>
      <c r="R90" s="61"/>
      <c r="S90" s="468"/>
      <c r="T90" s="468"/>
      <c r="U90" s="468"/>
      <c r="V90" s="468"/>
      <c r="W90" s="468"/>
      <c r="X90" s="441"/>
      <c r="Y90" s="441"/>
      <c r="Z90" s="441"/>
      <c r="AA90" s="441"/>
      <c r="AB90" s="441"/>
      <c r="AC90" s="441"/>
      <c r="AD90" s="441"/>
      <c r="AE90" s="441"/>
      <c r="AF90" s="441"/>
      <c r="AG90" s="441"/>
      <c r="AH90" s="61"/>
      <c r="AI90" s="61"/>
      <c r="AJ90" s="61"/>
      <c r="AK90" s="61"/>
      <c r="AL90" s="61"/>
      <c r="AM90" s="61"/>
      <c r="AN90" s="61"/>
      <c r="AO90" s="61"/>
      <c r="AP90" s="61"/>
      <c r="AQ90" s="61"/>
      <c r="AR90" s="61"/>
      <c r="AS90" s="61"/>
      <c r="AT90" s="61"/>
      <c r="AU90" s="61"/>
      <c r="AV90" s="61"/>
      <c r="AW90" s="61"/>
      <c r="AX90" s="61"/>
      <c r="AY90" s="61"/>
      <c r="AZ90" s="61"/>
      <c r="BA90" s="61"/>
      <c r="BB90" s="61"/>
      <c r="BC90" s="61"/>
      <c r="BD90" s="61"/>
      <c r="BE90" s="61"/>
      <c r="BF90" s="61"/>
      <c r="BG90" s="61"/>
      <c r="BH90" s="61"/>
      <c r="BI90" s="61"/>
      <c r="BJ90" s="61"/>
      <c r="BK90" s="61"/>
      <c r="BL90" s="61"/>
      <c r="BM90" s="61"/>
      <c r="BN90" s="61"/>
      <c r="BO90" s="61"/>
      <c r="BP90" s="61"/>
      <c r="BQ90" s="61"/>
      <c r="BR90" s="61"/>
      <c r="BS90" s="61"/>
      <c r="BT90" s="61"/>
      <c r="BU90" s="61"/>
      <c r="BV90" s="61"/>
      <c r="BW90" s="61"/>
      <c r="BX90" s="61"/>
      <c r="BY90" s="61"/>
      <c r="BZ90" s="61"/>
      <c r="CA90" s="61"/>
      <c r="CB90" s="61"/>
      <c r="CC90" s="61"/>
      <c r="CD90" s="61"/>
      <c r="CE90" s="61"/>
      <c r="CF90" s="61"/>
      <c r="CG90" s="61"/>
    </row>
    <row r="91" spans="1:85" ht="9.9" customHeight="1">
      <c r="A91" s="61"/>
      <c r="B91" s="61"/>
      <c r="C91" s="467"/>
      <c r="D91" s="467"/>
      <c r="E91" s="467"/>
      <c r="F91" s="467"/>
      <c r="G91" s="467"/>
      <c r="H91" s="467"/>
      <c r="I91" s="467"/>
      <c r="J91" s="467"/>
      <c r="K91" s="467"/>
      <c r="L91" s="467"/>
      <c r="M91" s="467"/>
      <c r="N91" s="467"/>
      <c r="O91" s="467"/>
      <c r="P91" s="61"/>
      <c r="Q91" s="61"/>
      <c r="R91" s="61"/>
      <c r="S91" s="468"/>
      <c r="T91" s="468"/>
      <c r="U91" s="468"/>
      <c r="V91" s="468"/>
      <c r="W91" s="468"/>
      <c r="X91" s="441"/>
      <c r="Y91" s="441"/>
      <c r="Z91" s="441"/>
      <c r="AA91" s="441"/>
      <c r="AB91" s="441"/>
      <c r="AC91" s="441"/>
      <c r="AD91" s="441"/>
      <c r="AE91" s="441"/>
      <c r="AF91" s="441"/>
      <c r="AG91" s="441"/>
      <c r="AH91" s="61"/>
      <c r="AI91" s="61"/>
      <c r="AJ91" s="61"/>
      <c r="AK91" s="61"/>
      <c r="AL91" s="61"/>
      <c r="AM91" s="61"/>
      <c r="AN91" s="61"/>
      <c r="AO91" s="61"/>
      <c r="AP91" s="61"/>
      <c r="AQ91" s="61"/>
      <c r="AR91" s="61"/>
      <c r="AS91" s="61"/>
      <c r="AT91" s="61"/>
      <c r="AU91" s="61"/>
      <c r="AV91" s="61"/>
      <c r="AW91" s="61"/>
      <c r="AX91" s="61"/>
      <c r="AY91" s="61"/>
      <c r="AZ91" s="61"/>
      <c r="BA91" s="61"/>
      <c r="BB91" s="61"/>
      <c r="BC91" s="61"/>
      <c r="BD91" s="61"/>
      <c r="BE91" s="61"/>
      <c r="BF91" s="61"/>
      <c r="BG91" s="61"/>
      <c r="BH91" s="61"/>
      <c r="BI91" s="61"/>
      <c r="BJ91" s="61"/>
      <c r="BK91" s="61"/>
      <c r="BL91" s="61"/>
      <c r="BM91" s="61"/>
      <c r="BN91" s="61"/>
      <c r="BO91" s="61"/>
      <c r="BP91" s="61"/>
      <c r="BQ91" s="61"/>
      <c r="BR91" s="61"/>
      <c r="BS91" s="61"/>
      <c r="BT91" s="61"/>
      <c r="BU91" s="61"/>
      <c r="BV91" s="61"/>
      <c r="BW91" s="61"/>
      <c r="BX91" s="61"/>
      <c r="BY91" s="61"/>
      <c r="BZ91" s="61"/>
      <c r="CA91" s="61"/>
      <c r="CB91" s="61"/>
      <c r="CC91" s="61"/>
      <c r="CD91" s="61"/>
      <c r="CE91" s="61"/>
      <c r="CF91" s="61"/>
      <c r="CG91" s="61"/>
    </row>
    <row r="92" spans="1:85" ht="5.0999999999999996" customHeight="1">
      <c r="A92" s="61"/>
      <c r="B92" s="61"/>
      <c r="C92" s="467"/>
      <c r="D92" s="467"/>
      <c r="E92" s="467"/>
      <c r="F92" s="467"/>
      <c r="G92" s="467"/>
      <c r="H92" s="467"/>
      <c r="I92" s="467"/>
      <c r="J92" s="467"/>
      <c r="K92" s="467"/>
      <c r="L92" s="467"/>
      <c r="M92" s="467"/>
      <c r="N92" s="467"/>
      <c r="O92" s="467"/>
      <c r="P92" s="61"/>
      <c r="Q92" s="61"/>
      <c r="R92" s="61"/>
      <c r="S92" s="468"/>
      <c r="T92" s="468"/>
      <c r="U92" s="468"/>
      <c r="V92" s="468"/>
      <c r="W92" s="468"/>
      <c r="X92" s="441"/>
      <c r="Y92" s="441"/>
      <c r="Z92" s="441"/>
      <c r="AA92" s="441"/>
      <c r="AB92" s="441"/>
      <c r="AC92" s="441"/>
      <c r="AD92" s="441"/>
      <c r="AE92" s="441"/>
      <c r="AF92" s="441"/>
      <c r="AG92" s="441"/>
      <c r="AH92" s="61"/>
      <c r="AI92" s="61"/>
      <c r="AJ92" s="61"/>
      <c r="AK92" s="61"/>
      <c r="AL92" s="61"/>
      <c r="AM92" s="61"/>
      <c r="AN92" s="61"/>
      <c r="AO92" s="61"/>
      <c r="AP92" s="61"/>
      <c r="AQ92" s="61"/>
      <c r="AR92" s="61"/>
      <c r="AS92" s="61"/>
      <c r="AT92" s="61"/>
      <c r="AU92" s="61"/>
      <c r="AV92" s="61"/>
      <c r="AW92" s="61"/>
      <c r="AX92" s="61"/>
      <c r="AY92" s="61"/>
      <c r="AZ92" s="61"/>
      <c r="BA92" s="61"/>
      <c r="BB92" s="61"/>
      <c r="BC92" s="61"/>
      <c r="BD92" s="61"/>
      <c r="BE92" s="61"/>
      <c r="BF92" s="61"/>
      <c r="BG92" s="61"/>
      <c r="BH92" s="61"/>
      <c r="BI92" s="61"/>
      <c r="BJ92" s="61"/>
      <c r="BK92" s="61"/>
      <c r="BL92" s="61"/>
      <c r="BM92" s="61"/>
      <c r="BN92" s="61"/>
      <c r="BO92" s="61"/>
      <c r="BP92" s="61"/>
      <c r="BQ92" s="61"/>
      <c r="BR92" s="61"/>
      <c r="BS92" s="61"/>
      <c r="BT92" s="61"/>
      <c r="BU92" s="61"/>
      <c r="BV92" s="61"/>
      <c r="BW92" s="61"/>
      <c r="BX92" s="61"/>
      <c r="BY92" s="61"/>
      <c r="BZ92" s="61"/>
      <c r="CA92" s="61"/>
      <c r="CB92" s="61"/>
      <c r="CC92" s="61"/>
      <c r="CD92" s="61"/>
      <c r="CE92" s="61"/>
      <c r="CF92" s="61"/>
      <c r="CG92" s="61"/>
    </row>
    <row r="93" spans="1:85" ht="9.9" customHeight="1">
      <c r="A93" s="61"/>
      <c r="B93" s="61"/>
      <c r="C93" s="467"/>
      <c r="D93" s="467"/>
      <c r="E93" s="467"/>
      <c r="F93" s="467"/>
      <c r="G93" s="467"/>
      <c r="H93" s="467"/>
      <c r="I93" s="467"/>
      <c r="J93" s="467"/>
      <c r="K93" s="467"/>
      <c r="L93" s="467"/>
      <c r="M93" s="467"/>
      <c r="N93" s="467"/>
      <c r="O93" s="467"/>
      <c r="P93" s="61"/>
      <c r="Q93" s="61"/>
      <c r="R93" s="61"/>
      <c r="S93" s="468"/>
      <c r="T93" s="468"/>
      <c r="U93" s="468"/>
      <c r="V93" s="468"/>
      <c r="W93" s="468"/>
      <c r="X93" s="441"/>
      <c r="Y93" s="441"/>
      <c r="Z93" s="441"/>
      <c r="AA93" s="441"/>
      <c r="AB93" s="441"/>
      <c r="AC93" s="441"/>
      <c r="AD93" s="441"/>
      <c r="AE93" s="441"/>
      <c r="AF93" s="441"/>
      <c r="AG93" s="441"/>
      <c r="AH93" s="61"/>
      <c r="AI93" s="61"/>
      <c r="AJ93" s="61"/>
      <c r="AK93" s="61"/>
      <c r="AL93" s="61"/>
      <c r="AM93" s="61"/>
      <c r="AN93" s="61"/>
      <c r="AO93" s="61"/>
      <c r="AP93" s="61"/>
      <c r="AQ93" s="61"/>
      <c r="AR93" s="61"/>
      <c r="AS93" s="61"/>
      <c r="AT93" s="61"/>
      <c r="AU93" s="61"/>
      <c r="AV93" s="61"/>
      <c r="AW93" s="61"/>
      <c r="AX93" s="61"/>
      <c r="AY93" s="61"/>
      <c r="AZ93" s="61"/>
      <c r="BA93" s="61"/>
      <c r="BB93" s="61"/>
      <c r="BC93" s="61"/>
      <c r="BD93" s="61"/>
      <c r="BE93" s="61"/>
      <c r="BF93" s="61"/>
      <c r="BG93" s="61"/>
      <c r="BH93" s="61"/>
      <c r="BI93" s="61"/>
      <c r="BJ93" s="61"/>
      <c r="BK93" s="61"/>
      <c r="BL93" s="61"/>
      <c r="BM93" s="61"/>
      <c r="BN93" s="61"/>
      <c r="BO93" s="61"/>
      <c r="BP93" s="61"/>
      <c r="BQ93" s="61"/>
      <c r="BR93" s="61"/>
      <c r="BS93" s="61"/>
      <c r="BT93" s="61"/>
      <c r="BU93" s="61"/>
      <c r="BV93" s="61"/>
      <c r="BW93" s="61"/>
      <c r="BX93" s="61"/>
      <c r="BY93" s="61"/>
      <c r="BZ93" s="61"/>
      <c r="CA93" s="61"/>
      <c r="CB93" s="61"/>
      <c r="CC93" s="61"/>
      <c r="CD93" s="61"/>
      <c r="CE93" s="61"/>
      <c r="CF93" s="61"/>
      <c r="CG93" s="61"/>
    </row>
    <row r="94" spans="1:85" ht="5.0999999999999996" customHeight="1">
      <c r="A94" s="61"/>
      <c r="B94" s="61"/>
      <c r="C94" s="467"/>
      <c r="D94" s="467"/>
      <c r="E94" s="467"/>
      <c r="F94" s="467"/>
      <c r="G94" s="467"/>
      <c r="H94" s="467"/>
      <c r="I94" s="467"/>
      <c r="J94" s="467"/>
      <c r="K94" s="467"/>
      <c r="L94" s="467"/>
      <c r="M94" s="467"/>
      <c r="N94" s="467"/>
      <c r="O94" s="467"/>
      <c r="P94" s="61"/>
      <c r="Q94" s="61"/>
      <c r="R94" s="61"/>
      <c r="S94" s="468"/>
      <c r="T94" s="468"/>
      <c r="U94" s="468"/>
      <c r="V94" s="468"/>
      <c r="W94" s="468"/>
      <c r="X94" s="441"/>
      <c r="Y94" s="441"/>
      <c r="Z94" s="441"/>
      <c r="AA94" s="441"/>
      <c r="AB94" s="441"/>
      <c r="AC94" s="441"/>
      <c r="AD94" s="441"/>
      <c r="AE94" s="441"/>
      <c r="AF94" s="441"/>
      <c r="AG94" s="441"/>
      <c r="AH94" s="61"/>
      <c r="AI94" s="61"/>
      <c r="AJ94" s="61"/>
      <c r="AK94" s="61"/>
      <c r="AL94" s="61"/>
      <c r="AM94" s="61"/>
      <c r="AN94" s="61"/>
      <c r="AO94" s="61"/>
      <c r="AP94" s="61"/>
      <c r="AQ94" s="61"/>
      <c r="AR94" s="61"/>
      <c r="AS94" s="61"/>
      <c r="AT94" s="61"/>
      <c r="AU94" s="61"/>
      <c r="AV94" s="61"/>
      <c r="AW94" s="61"/>
      <c r="AX94" s="61"/>
      <c r="AY94" s="61"/>
      <c r="AZ94" s="61"/>
      <c r="BA94" s="61"/>
      <c r="BB94" s="61"/>
      <c r="BC94" s="61"/>
      <c r="BD94" s="61"/>
      <c r="BE94" s="61"/>
      <c r="BF94" s="61"/>
      <c r="BG94" s="61"/>
      <c r="BH94" s="61"/>
      <c r="BI94" s="61"/>
      <c r="BJ94" s="61"/>
      <c r="BK94" s="61"/>
      <c r="BL94" s="61"/>
      <c r="BM94" s="61"/>
      <c r="BN94" s="61"/>
      <c r="BO94" s="61"/>
      <c r="BP94" s="61"/>
      <c r="BQ94" s="61"/>
      <c r="BR94" s="61"/>
      <c r="BS94" s="61"/>
      <c r="BT94" s="61"/>
      <c r="BU94" s="61"/>
      <c r="BV94" s="61"/>
      <c r="BW94" s="61"/>
      <c r="BX94" s="61"/>
      <c r="BY94" s="61"/>
      <c r="BZ94" s="61"/>
      <c r="CA94" s="61"/>
      <c r="CB94" s="61"/>
      <c r="CC94" s="61"/>
      <c r="CD94" s="61"/>
      <c r="CE94" s="61"/>
      <c r="CF94" s="61"/>
      <c r="CG94" s="61"/>
    </row>
    <row r="95" spans="1:85" ht="9.9" customHeight="1">
      <c r="A95" s="61"/>
      <c r="B95" s="61"/>
      <c r="C95" s="467"/>
      <c r="D95" s="467"/>
      <c r="E95" s="467"/>
      <c r="F95" s="467"/>
      <c r="G95" s="467"/>
      <c r="H95" s="467"/>
      <c r="I95" s="467"/>
      <c r="J95" s="467"/>
      <c r="K95" s="467"/>
      <c r="L95" s="467"/>
      <c r="M95" s="467"/>
      <c r="N95" s="467"/>
      <c r="O95" s="467"/>
      <c r="P95" s="61"/>
      <c r="Q95" s="61"/>
      <c r="R95" s="61"/>
      <c r="S95" s="468"/>
      <c r="T95" s="468"/>
      <c r="U95" s="468"/>
      <c r="V95" s="468"/>
      <c r="W95" s="468"/>
      <c r="X95" s="441"/>
      <c r="Y95" s="441"/>
      <c r="Z95" s="441"/>
      <c r="AA95" s="441"/>
      <c r="AB95" s="441"/>
      <c r="AC95" s="441"/>
      <c r="AD95" s="441"/>
      <c r="AE95" s="441"/>
      <c r="AF95" s="441"/>
      <c r="AG95" s="441"/>
      <c r="AH95" s="61"/>
      <c r="AI95" s="61"/>
      <c r="AJ95" s="61"/>
      <c r="AK95" s="61"/>
      <c r="AL95" s="61"/>
      <c r="AM95" s="61"/>
      <c r="AN95" s="61"/>
      <c r="AO95" s="61"/>
      <c r="AP95" s="61"/>
      <c r="AQ95" s="61"/>
      <c r="AR95" s="61"/>
      <c r="AS95" s="61"/>
      <c r="AT95" s="61"/>
      <c r="AU95" s="61"/>
      <c r="AV95" s="61"/>
      <c r="AW95" s="61"/>
      <c r="AX95" s="61"/>
      <c r="AY95" s="61"/>
      <c r="AZ95" s="61"/>
      <c r="BA95" s="61"/>
      <c r="BB95" s="61"/>
      <c r="BC95" s="61"/>
      <c r="BD95" s="61"/>
      <c r="BE95" s="61"/>
      <c r="BF95" s="61"/>
      <c r="BG95" s="61"/>
      <c r="BH95" s="61"/>
      <c r="BI95" s="61"/>
      <c r="BJ95" s="61"/>
      <c r="BK95" s="61"/>
      <c r="BL95" s="61"/>
      <c r="BM95" s="61"/>
      <c r="BN95" s="61"/>
      <c r="BO95" s="61"/>
      <c r="BP95" s="61"/>
      <c r="BQ95" s="61"/>
      <c r="BR95" s="61"/>
      <c r="BS95" s="61"/>
      <c r="BT95" s="61"/>
      <c r="BU95" s="61"/>
      <c r="BV95" s="61"/>
      <c r="BW95" s="61"/>
      <c r="BX95" s="61"/>
      <c r="BY95" s="61"/>
      <c r="BZ95" s="61"/>
      <c r="CA95" s="61"/>
      <c r="CB95" s="61"/>
      <c r="CC95" s="61"/>
      <c r="CD95" s="61"/>
      <c r="CE95" s="61"/>
      <c r="CF95" s="61"/>
      <c r="CG95" s="61"/>
    </row>
    <row r="96" spans="1:85" ht="5.0999999999999996" customHeight="1">
      <c r="A96" s="61"/>
      <c r="B96" s="61"/>
      <c r="C96" s="467"/>
      <c r="D96" s="467"/>
      <c r="E96" s="467"/>
      <c r="F96" s="467"/>
      <c r="G96" s="467"/>
      <c r="H96" s="467"/>
      <c r="I96" s="467"/>
      <c r="J96" s="467"/>
      <c r="K96" s="467"/>
      <c r="L96" s="467"/>
      <c r="M96" s="467"/>
      <c r="N96" s="467"/>
      <c r="O96" s="467"/>
      <c r="P96" s="61"/>
      <c r="Q96" s="61"/>
      <c r="R96" s="61"/>
      <c r="S96" s="468"/>
      <c r="T96" s="468"/>
      <c r="U96" s="468"/>
      <c r="V96" s="468"/>
      <c r="W96" s="468"/>
      <c r="X96" s="441"/>
      <c r="Y96" s="441"/>
      <c r="Z96" s="441"/>
      <c r="AA96" s="441"/>
      <c r="AB96" s="441"/>
      <c r="AC96" s="441"/>
      <c r="AD96" s="441"/>
      <c r="AE96" s="441"/>
      <c r="AF96" s="441"/>
      <c r="AG96" s="441"/>
      <c r="AH96" s="61"/>
      <c r="AI96" s="61"/>
      <c r="AJ96" s="61"/>
      <c r="AK96" s="61"/>
      <c r="AL96" s="61"/>
      <c r="AM96" s="61"/>
      <c r="AN96" s="61"/>
      <c r="AO96" s="61"/>
      <c r="AP96" s="61"/>
      <c r="AQ96" s="61"/>
      <c r="AR96" s="61"/>
      <c r="AS96" s="61"/>
      <c r="AT96" s="61"/>
      <c r="AU96" s="61"/>
      <c r="AV96" s="61"/>
      <c r="AW96" s="61"/>
      <c r="AX96" s="61"/>
      <c r="AY96" s="61"/>
      <c r="AZ96" s="61"/>
      <c r="BA96" s="61"/>
      <c r="BB96" s="61"/>
      <c r="BC96" s="61"/>
      <c r="BD96" s="61"/>
      <c r="BE96" s="61"/>
      <c r="BF96" s="61"/>
      <c r="BG96" s="61"/>
      <c r="BH96" s="61"/>
      <c r="BI96" s="61"/>
      <c r="BJ96" s="61"/>
      <c r="BK96" s="61"/>
      <c r="BL96" s="61"/>
      <c r="BM96" s="61"/>
      <c r="BN96" s="61"/>
      <c r="BO96" s="61"/>
      <c r="BP96" s="61"/>
      <c r="BQ96" s="61"/>
      <c r="BR96" s="61"/>
      <c r="BS96" s="61"/>
      <c r="BT96" s="61"/>
      <c r="BU96" s="61"/>
      <c r="BV96" s="61"/>
      <c r="BW96" s="61"/>
      <c r="BX96" s="61"/>
      <c r="BY96" s="61"/>
      <c r="BZ96" s="61"/>
      <c r="CA96" s="61"/>
      <c r="CB96" s="61"/>
      <c r="CC96" s="61"/>
      <c r="CD96" s="61"/>
      <c r="CE96" s="61"/>
      <c r="CF96" s="61"/>
      <c r="CG96" s="61"/>
    </row>
    <row r="97" spans="1:85" ht="9.9" customHeight="1">
      <c r="A97" s="61"/>
      <c r="B97" s="61"/>
      <c r="C97" s="467"/>
      <c r="D97" s="467"/>
      <c r="E97" s="467"/>
      <c r="F97" s="467"/>
      <c r="G97" s="467"/>
      <c r="H97" s="467"/>
      <c r="I97" s="467"/>
      <c r="J97" s="467"/>
      <c r="K97" s="467"/>
      <c r="L97" s="467"/>
      <c r="M97" s="467"/>
      <c r="N97" s="467"/>
      <c r="O97" s="467"/>
      <c r="P97" s="61"/>
      <c r="Q97" s="61"/>
      <c r="R97" s="61"/>
      <c r="S97" s="468"/>
      <c r="T97" s="468"/>
      <c r="U97" s="468"/>
      <c r="V97" s="468"/>
      <c r="W97" s="468"/>
      <c r="X97" s="441"/>
      <c r="Y97" s="441"/>
      <c r="Z97" s="441"/>
      <c r="AA97" s="441"/>
      <c r="AB97" s="441"/>
      <c r="AC97" s="441"/>
      <c r="AD97" s="441"/>
      <c r="AE97" s="441"/>
      <c r="AF97" s="441"/>
      <c r="AG97" s="441"/>
      <c r="AH97" s="61"/>
      <c r="AI97" s="61"/>
      <c r="AJ97" s="61"/>
      <c r="AK97" s="61"/>
      <c r="AL97" s="61"/>
      <c r="AM97" s="61"/>
      <c r="AN97" s="61"/>
      <c r="AO97" s="61"/>
      <c r="AP97" s="61"/>
      <c r="AQ97" s="61"/>
      <c r="AR97" s="61"/>
      <c r="AS97" s="61"/>
      <c r="AT97" s="61"/>
      <c r="AU97" s="61"/>
      <c r="AV97" s="61"/>
      <c r="AW97" s="61"/>
      <c r="AX97" s="61"/>
      <c r="AY97" s="61"/>
      <c r="AZ97" s="61"/>
      <c r="BA97" s="61"/>
      <c r="BB97" s="61"/>
      <c r="BC97" s="61"/>
      <c r="BD97" s="61"/>
      <c r="BE97" s="61"/>
      <c r="BF97" s="61"/>
      <c r="BG97" s="61"/>
      <c r="BH97" s="61"/>
      <c r="BI97" s="61"/>
      <c r="BJ97" s="61"/>
      <c r="BK97" s="61"/>
      <c r="BL97" s="61"/>
      <c r="BM97" s="61"/>
      <c r="BN97" s="61"/>
      <c r="BO97" s="61"/>
      <c r="BP97" s="61"/>
      <c r="BQ97" s="61"/>
      <c r="BR97" s="61"/>
      <c r="BS97" s="61"/>
      <c r="BT97" s="61"/>
      <c r="BU97" s="61"/>
      <c r="BV97" s="61"/>
      <c r="BW97" s="61"/>
      <c r="BX97" s="61"/>
      <c r="BY97" s="61"/>
      <c r="BZ97" s="61"/>
      <c r="CA97" s="61"/>
      <c r="CB97" s="61"/>
      <c r="CC97" s="61"/>
      <c r="CD97" s="61"/>
      <c r="CE97" s="61"/>
      <c r="CF97" s="61"/>
      <c r="CG97" s="61"/>
    </row>
    <row r="98" spans="1:85" ht="5.0999999999999996" customHeight="1">
      <c r="A98" s="61"/>
      <c r="B98" s="61"/>
      <c r="C98" s="467"/>
      <c r="D98" s="467"/>
      <c r="E98" s="467"/>
      <c r="F98" s="467"/>
      <c r="G98" s="467"/>
      <c r="H98" s="467"/>
      <c r="I98" s="467"/>
      <c r="J98" s="467"/>
      <c r="K98" s="467"/>
      <c r="L98" s="467"/>
      <c r="M98" s="467"/>
      <c r="N98" s="467"/>
      <c r="O98" s="467"/>
      <c r="P98" s="61"/>
      <c r="Q98" s="61"/>
      <c r="R98" s="61"/>
      <c r="S98" s="468"/>
      <c r="T98" s="468"/>
      <c r="U98" s="468"/>
      <c r="V98" s="468"/>
      <c r="W98" s="468"/>
      <c r="X98" s="441"/>
      <c r="Y98" s="441"/>
      <c r="Z98" s="441"/>
      <c r="AA98" s="441"/>
      <c r="AB98" s="441"/>
      <c r="AC98" s="441"/>
      <c r="AD98" s="441"/>
      <c r="AE98" s="441"/>
      <c r="AF98" s="441"/>
      <c r="AG98" s="441"/>
      <c r="AH98" s="61"/>
      <c r="AI98" s="61"/>
      <c r="AJ98" s="61"/>
      <c r="AK98" s="61"/>
      <c r="AL98" s="61"/>
      <c r="AM98" s="61"/>
      <c r="AN98" s="61"/>
      <c r="AO98" s="61"/>
      <c r="AP98" s="61"/>
      <c r="AQ98" s="61"/>
      <c r="AR98" s="61"/>
      <c r="AS98" s="61"/>
      <c r="AT98" s="61"/>
      <c r="AU98" s="61"/>
      <c r="AV98" s="61"/>
      <c r="AW98" s="61"/>
      <c r="AX98" s="61"/>
      <c r="AY98" s="61"/>
      <c r="AZ98" s="61"/>
      <c r="BA98" s="61"/>
      <c r="BB98" s="61"/>
      <c r="BC98" s="61"/>
      <c r="BD98" s="61"/>
      <c r="BE98" s="61"/>
      <c r="BF98" s="61"/>
      <c r="BG98" s="61"/>
      <c r="BH98" s="61"/>
      <c r="BI98" s="61"/>
      <c r="BJ98" s="61"/>
      <c r="BK98" s="61"/>
      <c r="BL98" s="61"/>
      <c r="BM98" s="61"/>
      <c r="BN98" s="61"/>
      <c r="BO98" s="61"/>
      <c r="BP98" s="61"/>
      <c r="BQ98" s="61"/>
      <c r="BR98" s="61"/>
      <c r="BS98" s="61"/>
      <c r="BT98" s="61"/>
      <c r="BU98" s="61"/>
      <c r="BV98" s="61"/>
      <c r="BW98" s="61"/>
      <c r="BX98" s="61"/>
      <c r="BY98" s="61"/>
      <c r="BZ98" s="61"/>
      <c r="CA98" s="61"/>
      <c r="CB98" s="61"/>
      <c r="CC98" s="61"/>
      <c r="CD98" s="61"/>
      <c r="CE98" s="61"/>
      <c r="CF98" s="61"/>
      <c r="CG98" s="61"/>
    </row>
    <row r="99" spans="1:85" ht="9.9" customHeight="1">
      <c r="A99" s="61"/>
      <c r="B99" s="61"/>
      <c r="C99" s="467"/>
      <c r="D99" s="467"/>
      <c r="E99" s="467"/>
      <c r="F99" s="467"/>
      <c r="G99" s="467"/>
      <c r="H99" s="467"/>
      <c r="I99" s="467"/>
      <c r="J99" s="467"/>
      <c r="K99" s="467"/>
      <c r="L99" s="467"/>
      <c r="M99" s="467"/>
      <c r="N99" s="467"/>
      <c r="O99" s="467"/>
      <c r="P99" s="61"/>
      <c r="Q99" s="61"/>
      <c r="R99" s="61"/>
      <c r="S99" s="468"/>
      <c r="T99" s="468"/>
      <c r="U99" s="468"/>
      <c r="V99" s="468"/>
      <c r="W99" s="468"/>
      <c r="X99" s="441"/>
      <c r="Y99" s="441"/>
      <c r="Z99" s="441"/>
      <c r="AA99" s="441"/>
      <c r="AB99" s="441"/>
      <c r="AC99" s="441"/>
      <c r="AD99" s="441"/>
      <c r="AE99" s="441"/>
      <c r="AF99" s="441"/>
      <c r="AG99" s="441"/>
      <c r="AH99" s="61"/>
      <c r="AI99" s="61"/>
      <c r="AJ99" s="61"/>
      <c r="AK99" s="61"/>
      <c r="AL99" s="61"/>
      <c r="AM99" s="61"/>
      <c r="AN99" s="61"/>
      <c r="AO99" s="61"/>
      <c r="AP99" s="61"/>
      <c r="AQ99" s="61"/>
      <c r="AR99" s="61"/>
      <c r="AS99" s="61"/>
      <c r="AT99" s="61"/>
      <c r="AU99" s="61"/>
      <c r="AV99" s="61"/>
      <c r="AW99" s="61"/>
      <c r="AX99" s="61"/>
      <c r="AY99" s="61"/>
      <c r="AZ99" s="61"/>
      <c r="BA99" s="61"/>
      <c r="BB99" s="61"/>
      <c r="BC99" s="61"/>
      <c r="BD99" s="61"/>
      <c r="BE99" s="61"/>
      <c r="BF99" s="61"/>
      <c r="BG99" s="61"/>
      <c r="BH99" s="61"/>
      <c r="BI99" s="61"/>
      <c r="BJ99" s="61"/>
      <c r="BK99" s="61"/>
      <c r="BL99" s="61"/>
      <c r="BM99" s="61"/>
      <c r="BN99" s="61"/>
      <c r="BO99" s="61"/>
      <c r="BP99" s="61"/>
      <c r="BQ99" s="61"/>
      <c r="BR99" s="61"/>
      <c r="BS99" s="61"/>
      <c r="BT99" s="61"/>
      <c r="BU99" s="61"/>
      <c r="BV99" s="61"/>
      <c r="BW99" s="61"/>
      <c r="BX99" s="61"/>
      <c r="BY99" s="61"/>
      <c r="BZ99" s="61"/>
      <c r="CA99" s="61"/>
      <c r="CB99" s="61"/>
      <c r="CC99" s="61"/>
      <c r="CD99" s="61"/>
      <c r="CE99" s="61"/>
      <c r="CF99" s="61"/>
      <c r="CG99" s="61"/>
    </row>
    <row r="100" spans="1:85" ht="5.0999999999999996" customHeight="1"/>
    <row r="101" spans="1:85" ht="9.9" customHeight="1"/>
    <row r="102" spans="1:85" ht="5.0999999999999996" customHeight="1"/>
    <row r="103" spans="1:85" ht="9.9" customHeight="1"/>
    <row r="104" spans="1:85" ht="9.9" customHeight="1"/>
    <row r="105" spans="1:85" ht="9.9" customHeight="1"/>
    <row r="109" spans="1:85" ht="15" customHeight="1"/>
    <row r="110" spans="1:85" ht="15" customHeight="1"/>
    <row r="111" spans="1:85" ht="15" customHeight="1"/>
    <row r="112" spans="1:85" ht="15" customHeight="1"/>
    <row r="113" ht="12.75" customHeight="1"/>
    <row r="114" ht="13.5" customHeight="1"/>
    <row r="115" ht="25.5" customHeight="1"/>
    <row r="116" ht="9.9" customHeight="1"/>
    <row r="118" ht="12" customHeight="1"/>
    <row r="119" ht="18" customHeight="1"/>
    <row r="120" ht="15" customHeight="1"/>
    <row r="121" ht="15" customHeight="1"/>
    <row r="122" ht="15" customHeight="1"/>
    <row r="123" ht="21.9" customHeight="1"/>
    <row r="124" ht="21.9" customHeight="1"/>
    <row r="125" ht="15.9" customHeight="1"/>
    <row r="126" ht="21.9" customHeight="1"/>
    <row r="127" ht="21.9" customHeight="1"/>
    <row r="128" ht="15.9" customHeight="1"/>
    <row r="129" ht="21.9" customHeight="1"/>
    <row r="130" ht="21.9" customHeight="1"/>
    <row r="131" ht="15.9" customHeight="1"/>
    <row r="132" ht="21.9" customHeight="1"/>
    <row r="133" ht="21.9" customHeight="1"/>
    <row r="134" ht="15" customHeight="1"/>
    <row r="135" ht="15" customHeight="1"/>
  </sheetData>
  <sheetProtection algorithmName="SHA-512" hashValue="m2RNaoaq1tSr7XJW4PTxqcCaKhJsCenGIxs5RVLOXEiKO02qAJgBxftU7ncuGEFt5HhWNqx/77onr8UjhaLI6w==" saltValue="TIuDvqP47jW/JAkwSPclzA==" spinCount="100000" sheet="1" objects="1" scenarios="1" selectLockedCells="1"/>
  <customSheetViews>
    <customSheetView guid="{81353914-8CB9-4C10-A35B-25C1EEB4C7CD}">
      <selection activeCell="S16" sqref="S16:U19"/>
      <pageMargins left="0.78740157480314965" right="0.23622047244094491" top="0.35433070866141736" bottom="0.35433070866141736" header="0.31496062992125984" footer="0.31496062992125984"/>
      <printOptions horizontalCentered="1" verticalCentered="1"/>
      <pageSetup paperSize="28" orientation="landscape" r:id="rId1"/>
      <headerFooter alignWithMargins="0"/>
    </customSheetView>
  </customSheetViews>
  <mergeCells count="434">
    <mergeCell ref="A78:A79"/>
    <mergeCell ref="B78:B79"/>
    <mergeCell ref="G78:G79"/>
    <mergeCell ref="J82:J83"/>
    <mergeCell ref="K82:K83"/>
    <mergeCell ref="L82:L83"/>
    <mergeCell ref="M82:M83"/>
    <mergeCell ref="N82:N83"/>
    <mergeCell ref="O82:O83"/>
    <mergeCell ref="I80:I81"/>
    <mergeCell ref="H78:H79"/>
    <mergeCell ref="I78:I79"/>
    <mergeCell ref="J78:J79"/>
    <mergeCell ref="K78:K79"/>
    <mergeCell ref="L78:L79"/>
    <mergeCell ref="M78:M79"/>
    <mergeCell ref="N78:N79"/>
    <mergeCell ref="O78:O79"/>
    <mergeCell ref="B43:C48"/>
    <mergeCell ref="M47:Q48"/>
    <mergeCell ref="I47:L48"/>
    <mergeCell ref="D47:H48"/>
    <mergeCell ref="Q78:Q79"/>
    <mergeCell ref="A82:A83"/>
    <mergeCell ref="B82:B83"/>
    <mergeCell ref="C82:C83"/>
    <mergeCell ref="D82:D83"/>
    <mergeCell ref="E82:E83"/>
    <mergeCell ref="F82:F83"/>
    <mergeCell ref="G82:G83"/>
    <mergeCell ref="H82:H83"/>
    <mergeCell ref="I82:I83"/>
    <mergeCell ref="P82:P83"/>
    <mergeCell ref="Q82:Q83"/>
    <mergeCell ref="A80:A81"/>
    <mergeCell ref="B80:B81"/>
    <mergeCell ref="C80:C81"/>
    <mergeCell ref="D80:D81"/>
    <mergeCell ref="E80:E81"/>
    <mergeCell ref="F80:F81"/>
    <mergeCell ref="G80:G81"/>
    <mergeCell ref="H80:H81"/>
    <mergeCell ref="R82:R83"/>
    <mergeCell ref="S82:S83"/>
    <mergeCell ref="T82:T83"/>
    <mergeCell ref="U82:U83"/>
    <mergeCell ref="W82:W83"/>
    <mergeCell ref="X82:X83"/>
    <mergeCell ref="Y82:Y83"/>
    <mergeCell ref="Q80:Q81"/>
    <mergeCell ref="R80:R81"/>
    <mergeCell ref="S80:S81"/>
    <mergeCell ref="T80:T81"/>
    <mergeCell ref="U80:U81"/>
    <mergeCell ref="V80:V81"/>
    <mergeCell ref="V82:V83"/>
    <mergeCell ref="W80:W81"/>
    <mergeCell ref="X80:X81"/>
    <mergeCell ref="AH78:AH79"/>
    <mergeCell ref="AI78:AI79"/>
    <mergeCell ref="AJ78:AJ79"/>
    <mergeCell ref="AK78:AK79"/>
    <mergeCell ref="AH80:AH81"/>
    <mergeCell ref="AI80:AI81"/>
    <mergeCell ref="AJ80:AJ81"/>
    <mergeCell ref="AK80:AK81"/>
    <mergeCell ref="AB78:AB79"/>
    <mergeCell ref="AB80:AB81"/>
    <mergeCell ref="AH82:AH83"/>
    <mergeCell ref="AI82:AI83"/>
    <mergeCell ref="AJ82:AJ83"/>
    <mergeCell ref="AK82:AK83"/>
    <mergeCell ref="P1:AE1"/>
    <mergeCell ref="AF1:AN1"/>
    <mergeCell ref="BX35:BZ35"/>
    <mergeCell ref="BM41:BM53"/>
    <mergeCell ref="AZ6:AZ17"/>
    <mergeCell ref="BD6:BD33"/>
    <mergeCell ref="BA35:BB35"/>
    <mergeCell ref="BB21:BC33"/>
    <mergeCell ref="M7:AB8"/>
    <mergeCell ref="V43:Y46"/>
    <mergeCell ref="T43:U48"/>
    <mergeCell ref="BQ37:CC72"/>
    <mergeCell ref="BM54:BM57"/>
    <mergeCell ref="AZ58:AZ68"/>
    <mergeCell ref="AZ54:AZ57"/>
    <mergeCell ref="AR50:AS51"/>
    <mergeCell ref="BE61:BF62"/>
    <mergeCell ref="AR58:AS59"/>
    <mergeCell ref="AY37:BC40"/>
    <mergeCell ref="BL37:BP40"/>
    <mergeCell ref="BA71:BB71"/>
    <mergeCell ref="BD41:BD69"/>
    <mergeCell ref="BE65:BF65"/>
    <mergeCell ref="BJ37:BJ38"/>
    <mergeCell ref="BN71:BO71"/>
    <mergeCell ref="AT41:AY68"/>
    <mergeCell ref="AX71:AZ71"/>
    <mergeCell ref="BK71:BM71"/>
    <mergeCell ref="AP72:BC72"/>
    <mergeCell ref="BD72:BP72"/>
    <mergeCell ref="AR54:AS55"/>
    <mergeCell ref="AR47:AS48"/>
    <mergeCell ref="AP71:AV71"/>
    <mergeCell ref="BD71:BI71"/>
    <mergeCell ref="AP41:AQ69"/>
    <mergeCell ref="AR65:AS65"/>
    <mergeCell ref="BG41:BL68"/>
    <mergeCell ref="BB56:BC69"/>
    <mergeCell ref="BB48:BC55"/>
    <mergeCell ref="BB41:BC47"/>
    <mergeCell ref="AZ41:AZ53"/>
    <mergeCell ref="BN41:BN69"/>
    <mergeCell ref="BM58:BM68"/>
    <mergeCell ref="BK39:BK40"/>
    <mergeCell ref="AN61:AN64"/>
    <mergeCell ref="AN65:AN68"/>
    <mergeCell ref="AL58:AL60"/>
    <mergeCell ref="A53:A56"/>
    <mergeCell ref="I57:J60"/>
    <mergeCell ref="X47:Y48"/>
    <mergeCell ref="X61:Y64"/>
    <mergeCell ref="X65:Y68"/>
    <mergeCell ref="X57:Y60"/>
    <mergeCell ref="X49:Y52"/>
    <mergeCell ref="K49:L68"/>
    <mergeCell ref="R49:S52"/>
    <mergeCell ref="X53:Y56"/>
    <mergeCell ref="M57:Q60"/>
    <mergeCell ref="V53:W56"/>
    <mergeCell ref="R65:S68"/>
    <mergeCell ref="T61:U64"/>
    <mergeCell ref="V57:W60"/>
    <mergeCell ref="B57:C60"/>
    <mergeCell ref="I49:J52"/>
    <mergeCell ref="D57:H60"/>
    <mergeCell ref="D49:H52"/>
    <mergeCell ref="R53:S56"/>
    <mergeCell ref="M53:Q56"/>
    <mergeCell ref="AA62:AG64"/>
    <mergeCell ref="AH50:AI52"/>
    <mergeCell ref="AJ58:AK60"/>
    <mergeCell ref="AH65:AI68"/>
    <mergeCell ref="AJ65:AK68"/>
    <mergeCell ref="AL65:AL68"/>
    <mergeCell ref="AH62:AI64"/>
    <mergeCell ref="AA65:AG68"/>
    <mergeCell ref="AL62:AL64"/>
    <mergeCell ref="AL50:AL52"/>
    <mergeCell ref="AH58:AI60"/>
    <mergeCell ref="AJ50:AK52"/>
    <mergeCell ref="AJ62:AK64"/>
    <mergeCell ref="BD2:BH5"/>
    <mergeCell ref="BT6:BY32"/>
    <mergeCell ref="BZ18:BZ22"/>
    <mergeCell ref="BZ6:BZ17"/>
    <mergeCell ref="CA6:CA33"/>
    <mergeCell ref="BV4:BV5"/>
    <mergeCell ref="BW4:BW5"/>
    <mergeCell ref="BW2:BW3"/>
    <mergeCell ref="BJ2:BJ3"/>
    <mergeCell ref="BI4:BI5"/>
    <mergeCell ref="BJ4:BJ5"/>
    <mergeCell ref="BY2:CC5"/>
    <mergeCell ref="BQ2:BU5"/>
    <mergeCell ref="BX4:BX5"/>
    <mergeCell ref="BR26:BS27"/>
    <mergeCell ref="BR29:BS29"/>
    <mergeCell ref="CB13:CC20"/>
    <mergeCell ref="BO6:BP12"/>
    <mergeCell ref="BR8:BS9"/>
    <mergeCell ref="BR12:BS13"/>
    <mergeCell ref="BR15:BS16"/>
    <mergeCell ref="BG6:BL32"/>
    <mergeCell ref="BA41:BA69"/>
    <mergeCell ref="BE58:BF59"/>
    <mergeCell ref="AR19:AS20"/>
    <mergeCell ref="AR15:AS16"/>
    <mergeCell ref="BJ39:BJ40"/>
    <mergeCell ref="BD37:BH40"/>
    <mergeCell ref="BB6:BC12"/>
    <mergeCell ref="BZ23:BZ32"/>
    <mergeCell ref="BR19:BS20"/>
    <mergeCell ref="BO48:BP55"/>
    <mergeCell ref="BO41:BP47"/>
    <mergeCell ref="BB13:BC20"/>
    <mergeCell ref="BE50:BF51"/>
    <mergeCell ref="BM18:BM22"/>
    <mergeCell ref="BE54:BF55"/>
    <mergeCell ref="BE8:BF9"/>
    <mergeCell ref="BE23:BF24"/>
    <mergeCell ref="BO56:BP69"/>
    <mergeCell ref="AR26:AS27"/>
    <mergeCell ref="CA35:CB35"/>
    <mergeCell ref="CB21:CC33"/>
    <mergeCell ref="BK35:BM35"/>
    <mergeCell ref="M38:AB38"/>
    <mergeCell ref="AZ18:AZ22"/>
    <mergeCell ref="BA6:BA33"/>
    <mergeCell ref="BE12:BF13"/>
    <mergeCell ref="BE19:BF20"/>
    <mergeCell ref="BE15:BF16"/>
    <mergeCell ref="AX35:AZ35"/>
    <mergeCell ref="CB6:CC12"/>
    <mergeCell ref="AA41:AN42"/>
    <mergeCell ref="AC2:AN40"/>
    <mergeCell ref="M39:AB40"/>
    <mergeCell ref="A26:L27"/>
    <mergeCell ref="M33:V33"/>
    <mergeCell ref="M18:V20"/>
    <mergeCell ref="M15:V16"/>
    <mergeCell ref="M12:V13"/>
    <mergeCell ref="P37:V37"/>
    <mergeCell ref="A37:L37"/>
    <mergeCell ref="A11:L11"/>
    <mergeCell ref="M37:O37"/>
    <mergeCell ref="A35:L36"/>
    <mergeCell ref="A38:L38"/>
    <mergeCell ref="R57:S60"/>
    <mergeCell ref="T49:U52"/>
    <mergeCell ref="T53:U56"/>
    <mergeCell ref="T57:U60"/>
    <mergeCell ref="D53:H56"/>
    <mergeCell ref="M49:Q52"/>
    <mergeCell ref="M45:S46"/>
    <mergeCell ref="V49:W52"/>
    <mergeCell ref="AN53:AN56"/>
    <mergeCell ref="AN57:AN60"/>
    <mergeCell ref="AA50:AG52"/>
    <mergeCell ref="AA54:AG56"/>
    <mergeCell ref="AN43:AN46"/>
    <mergeCell ref="AH54:AI56"/>
    <mergeCell ref="AJ54:AK56"/>
    <mergeCell ref="AN47:AN48"/>
    <mergeCell ref="AA58:AG60"/>
    <mergeCell ref="AL54:AL56"/>
    <mergeCell ref="AN49:AN52"/>
    <mergeCell ref="AA43:AL44"/>
    <mergeCell ref="Z57:Z60"/>
    <mergeCell ref="R47:S48"/>
    <mergeCell ref="V47:W48"/>
    <mergeCell ref="D43:L44"/>
    <mergeCell ref="AH69:AN69"/>
    <mergeCell ref="AR43:AS44"/>
    <mergeCell ref="AR61:AS62"/>
    <mergeCell ref="AG98:AG99"/>
    <mergeCell ref="C94:O95"/>
    <mergeCell ref="S94:W95"/>
    <mergeCell ref="X94:Z95"/>
    <mergeCell ref="AA94:AF95"/>
    <mergeCell ref="AG94:AG95"/>
    <mergeCell ref="C96:O97"/>
    <mergeCell ref="S96:W97"/>
    <mergeCell ref="X96:Z97"/>
    <mergeCell ref="AA96:AF97"/>
    <mergeCell ref="C98:O99"/>
    <mergeCell ref="S98:W99"/>
    <mergeCell ref="X98:Z99"/>
    <mergeCell ref="AA98:AF99"/>
    <mergeCell ref="AG96:AG97"/>
    <mergeCell ref="AG86:AG87"/>
    <mergeCell ref="C88:O89"/>
    <mergeCell ref="S88:W89"/>
    <mergeCell ref="X88:Z89"/>
    <mergeCell ref="AA88:AF89"/>
    <mergeCell ref="AG88:AG89"/>
    <mergeCell ref="S86:W87"/>
    <mergeCell ref="X86:Z87"/>
    <mergeCell ref="AG92:AG93"/>
    <mergeCell ref="AA90:AF91"/>
    <mergeCell ref="C92:O93"/>
    <mergeCell ref="S92:W93"/>
    <mergeCell ref="X92:Z93"/>
    <mergeCell ref="AA92:AF93"/>
    <mergeCell ref="C90:O91"/>
    <mergeCell ref="S90:W91"/>
    <mergeCell ref="AG90:AG91"/>
    <mergeCell ref="C86:O87"/>
    <mergeCell ref="X90:Z91"/>
    <mergeCell ref="AA86:AF87"/>
    <mergeCell ref="V78:V79"/>
    <mergeCell ref="W78:W79"/>
    <mergeCell ref="AG76:AG77"/>
    <mergeCell ref="AD82:AD83"/>
    <mergeCell ref="AE82:AE83"/>
    <mergeCell ref="AF82:AF83"/>
    <mergeCell ref="AC78:AC79"/>
    <mergeCell ref="AD78:AD79"/>
    <mergeCell ref="AE78:AE79"/>
    <mergeCell ref="AF78:AF79"/>
    <mergeCell ref="AC80:AC81"/>
    <mergeCell ref="AD80:AD81"/>
    <mergeCell ref="AE80:AE81"/>
    <mergeCell ref="AF80:AF81"/>
    <mergeCell ref="AC82:AC83"/>
    <mergeCell ref="AG82:AG83"/>
    <mergeCell ref="X78:X79"/>
    <mergeCell ref="Y78:Y79"/>
    <mergeCell ref="Z82:Z83"/>
    <mergeCell ref="AA82:AA83"/>
    <mergeCell ref="AB82:AB83"/>
    <mergeCell ref="Z80:Z81"/>
    <mergeCell ref="AA80:AA81"/>
    <mergeCell ref="Y80:Y81"/>
    <mergeCell ref="R78:R79"/>
    <mergeCell ref="C84:O85"/>
    <mergeCell ref="S84:W85"/>
    <mergeCell ref="X84:Z85"/>
    <mergeCell ref="AA84:AF85"/>
    <mergeCell ref="AG84:AG85"/>
    <mergeCell ref="AG80:AG81"/>
    <mergeCell ref="C78:C79"/>
    <mergeCell ref="D78:D79"/>
    <mergeCell ref="E78:E79"/>
    <mergeCell ref="F78:F79"/>
    <mergeCell ref="Z78:Z79"/>
    <mergeCell ref="AA78:AA79"/>
    <mergeCell ref="J80:J81"/>
    <mergeCell ref="K80:K81"/>
    <mergeCell ref="L80:L81"/>
    <mergeCell ref="M80:M81"/>
    <mergeCell ref="N80:N81"/>
    <mergeCell ref="O80:O81"/>
    <mergeCell ref="P80:P81"/>
    <mergeCell ref="S78:S79"/>
    <mergeCell ref="T78:T79"/>
    <mergeCell ref="U78:U79"/>
    <mergeCell ref="AG78:AG79"/>
    <mergeCell ref="AG74:AG75"/>
    <mergeCell ref="X74:Z75"/>
    <mergeCell ref="AA74:AF75"/>
    <mergeCell ref="C74:O75"/>
    <mergeCell ref="S74:W75"/>
    <mergeCell ref="C76:O77"/>
    <mergeCell ref="S76:W77"/>
    <mergeCell ref="X76:Z77"/>
    <mergeCell ref="AA76:AF77"/>
    <mergeCell ref="P78:P79"/>
    <mergeCell ref="BE47:BF48"/>
    <mergeCell ref="AW39:AW40"/>
    <mergeCell ref="BI39:BI40"/>
    <mergeCell ref="AW37:AW38"/>
    <mergeCell ref="AX39:AX40"/>
    <mergeCell ref="M35:V36"/>
    <mergeCell ref="M26:V27"/>
    <mergeCell ref="M30:V31"/>
    <mergeCell ref="AH45:AL46"/>
    <mergeCell ref="AH47:AI48"/>
    <mergeCell ref="AJ47:AK48"/>
    <mergeCell ref="AL47:AL48"/>
    <mergeCell ref="BE30:BF30"/>
    <mergeCell ref="BE29:BF29"/>
    <mergeCell ref="AZ23:AZ32"/>
    <mergeCell ref="BE43:BF44"/>
    <mergeCell ref="AT6:AY32"/>
    <mergeCell ref="AV39:AV40"/>
    <mergeCell ref="AP35:AV35"/>
    <mergeCell ref="M23:V24"/>
    <mergeCell ref="M29:V29"/>
    <mergeCell ref="M34:V34"/>
    <mergeCell ref="M43:S44"/>
    <mergeCell ref="Z61:Z64"/>
    <mergeCell ref="BQ35:BV35"/>
    <mergeCell ref="AV4:AV5"/>
    <mergeCell ref="AW4:AW5"/>
    <mergeCell ref="BM6:BM17"/>
    <mergeCell ref="AW2:AW3"/>
    <mergeCell ref="AY2:BC5"/>
    <mergeCell ref="AX4:AX5"/>
    <mergeCell ref="BK4:BK5"/>
    <mergeCell ref="BL2:BP5"/>
    <mergeCell ref="BR23:BS24"/>
    <mergeCell ref="BQ6:BQ33"/>
    <mergeCell ref="BR30:BS30"/>
    <mergeCell ref="BD35:BI35"/>
    <mergeCell ref="BN6:BN32"/>
    <mergeCell ref="BM23:BM32"/>
    <mergeCell ref="BN35:BO35"/>
    <mergeCell ref="BO21:BP33"/>
    <mergeCell ref="BO13:BP20"/>
    <mergeCell ref="BE26:BF27"/>
    <mergeCell ref="AP2:AU5"/>
    <mergeCell ref="AP6:AQ33"/>
    <mergeCell ref="AR8:AS9"/>
    <mergeCell ref="AR23:AS24"/>
    <mergeCell ref="A69:B72"/>
    <mergeCell ref="A61:A64"/>
    <mergeCell ref="A65:A68"/>
    <mergeCell ref="B61:C64"/>
    <mergeCell ref="B65:C68"/>
    <mergeCell ref="I65:J68"/>
    <mergeCell ref="A49:A52"/>
    <mergeCell ref="V61:W64"/>
    <mergeCell ref="V65:W68"/>
    <mergeCell ref="M61:Q64"/>
    <mergeCell ref="M65:Q68"/>
    <mergeCell ref="R61:S64"/>
    <mergeCell ref="C69:Y69"/>
    <mergeCell ref="A57:A60"/>
    <mergeCell ref="B49:C52"/>
    <mergeCell ref="B53:C56"/>
    <mergeCell ref="D65:H68"/>
    <mergeCell ref="I53:J56"/>
    <mergeCell ref="D61:H64"/>
    <mergeCell ref="C70:E72"/>
    <mergeCell ref="I61:J64"/>
    <mergeCell ref="T65:U68"/>
    <mergeCell ref="F70:AN72"/>
    <mergeCell ref="Z65:Z68"/>
    <mergeCell ref="AA45:AG48"/>
    <mergeCell ref="Z43:Z48"/>
    <mergeCell ref="B41:Z42"/>
    <mergeCell ref="Z49:Z52"/>
    <mergeCell ref="Z53:Z56"/>
    <mergeCell ref="A7:L8"/>
    <mergeCell ref="M11:V11"/>
    <mergeCell ref="A1:O1"/>
    <mergeCell ref="AP1:BC1"/>
    <mergeCell ref="AR12:AS13"/>
    <mergeCell ref="AR30:AS30"/>
    <mergeCell ref="A2:AB6"/>
    <mergeCell ref="A18:L20"/>
    <mergeCell ref="A9:L10"/>
    <mergeCell ref="M9:V10"/>
    <mergeCell ref="A23:L24"/>
    <mergeCell ref="A15:L16"/>
    <mergeCell ref="A12:L13"/>
    <mergeCell ref="AR29:AS29"/>
    <mergeCell ref="A30:L31"/>
    <mergeCell ref="AP37:AU40"/>
    <mergeCell ref="A33:L33"/>
    <mergeCell ref="A29:L29"/>
    <mergeCell ref="W9:AB37"/>
  </mergeCells>
  <phoneticPr fontId="12" type="noConversion"/>
  <conditionalFormatting sqref="A2">
    <cfRule type="containsText" dxfId="534" priority="673" operator="containsText" text="SELEZIONARE">
      <formula>NOT(ISERROR(SEARCH("SELEZIONARE",A2)))</formula>
    </cfRule>
    <cfRule type="containsText" dxfId="533" priority="676" operator="containsText" text="COMPILA">
      <formula>NOT(ISERROR(SEARCH("COMPILA",A2)))</formula>
    </cfRule>
    <cfRule type="containsText" dxfId="532" priority="674" operator="containsText" text="CLICCA">
      <formula>NOT(ISERROR(SEARCH("CLICCA",A2)))</formula>
    </cfRule>
  </conditionalFormatting>
  <conditionalFormatting sqref="A2:AB6">
    <cfRule type="containsText" dxfId="530" priority="12" operator="containsText" text="SCRIVI">
      <formula>NOT(ISERROR(SEARCH("SCRIVI",A2)))</formula>
    </cfRule>
  </conditionalFormatting>
  <conditionalFormatting sqref="B49">
    <cfRule type="expression" dxfId="529" priority="410">
      <formula>$A$2="SCRIVERE IL N° DI ANTE UGUALI DA PRODURRE"</formula>
    </cfRule>
    <cfRule type="expression" dxfId="528" priority="409">
      <formula>$B$49&lt;&gt;""</formula>
    </cfRule>
    <cfRule type="expression" dxfId="527" priority="394">
      <formula>IF(OR($V$49&gt;0,$X$49&gt;0),($V$49+$X$49&lt;&gt;$B$49))</formula>
    </cfRule>
  </conditionalFormatting>
  <conditionalFormatting sqref="B53">
    <cfRule type="expression" dxfId="526" priority="380">
      <formula>M49&lt;&gt;""</formula>
    </cfRule>
    <cfRule type="expression" dxfId="525" priority="379">
      <formula>B53&lt;&gt;""</formula>
    </cfRule>
    <cfRule type="expression" dxfId="524" priority="378">
      <formula>IF(OR($V$53&gt;0,$X$53&gt;0),($V$53+$X$53&lt;&gt;$B$53))</formula>
    </cfRule>
  </conditionalFormatting>
  <conditionalFormatting sqref="B57:C60">
    <cfRule type="expression" dxfId="523" priority="340">
      <formula>IF(OR($V$57&gt;0,$X$57&gt;0),($V$57+$X$57&lt;&gt;$B$57))</formula>
    </cfRule>
  </conditionalFormatting>
  <conditionalFormatting sqref="B57:C68">
    <cfRule type="expression" dxfId="522" priority="344">
      <formula>M53&lt;&gt;""</formula>
    </cfRule>
    <cfRule type="expression" dxfId="521" priority="342">
      <formula>B57&lt;&gt;""</formula>
    </cfRule>
  </conditionalFormatting>
  <conditionalFormatting sqref="B61:C64">
    <cfRule type="expression" dxfId="520" priority="341">
      <formula>IF(OR($V$61&gt;0,$X$61&gt;0),($V$61+$X$61&lt;&gt;$B$61))</formula>
    </cfRule>
  </conditionalFormatting>
  <conditionalFormatting sqref="B65:C68">
    <cfRule type="expression" dxfId="519" priority="339">
      <formula>IF(OR($V$65&gt;0,$X$65&gt;0),($V$65+$X$65&lt;&gt;$B$65))</formula>
    </cfRule>
  </conditionalFormatting>
  <conditionalFormatting sqref="C69">
    <cfRule type="expression" dxfId="518" priority="382">
      <formula>$C$69&lt;&gt;""</formula>
    </cfRule>
  </conditionalFormatting>
  <conditionalFormatting sqref="D49:H52">
    <cfRule type="expression" dxfId="517" priority="408">
      <formula>$A$2="ALTEZZA"</formula>
    </cfRule>
    <cfRule type="expression" dxfId="516" priority="407">
      <formula>$D$49&lt;&gt;""</formula>
    </cfRule>
  </conditionalFormatting>
  <conditionalFormatting sqref="D53:H56">
    <cfRule type="expression" dxfId="513" priority="309">
      <formula>D53&lt;&gt;""</formula>
    </cfRule>
  </conditionalFormatting>
  <conditionalFormatting sqref="D53:H68">
    <cfRule type="expression" dxfId="512" priority="336">
      <formula>B53&lt;&gt;""</formula>
    </cfRule>
  </conditionalFormatting>
  <conditionalFormatting sqref="D57:H60">
    <cfRule type="expression" dxfId="510" priority="332">
      <formula>$D$57&lt;&gt;""</formula>
    </cfRule>
  </conditionalFormatting>
  <conditionalFormatting sqref="D61:H64">
    <cfRule type="expression" dxfId="509" priority="333">
      <formula>$D$61&lt;&gt;""</formula>
    </cfRule>
  </conditionalFormatting>
  <conditionalFormatting sqref="D65:H68">
    <cfRule type="expression" dxfId="507" priority="330">
      <formula>$D$65&lt;&gt;""</formula>
    </cfRule>
  </conditionalFormatting>
  <conditionalFormatting sqref="I49:J52">
    <cfRule type="expression" dxfId="505" priority="11">
      <formula>$R$49&lt;&gt;""</formula>
    </cfRule>
    <cfRule type="expression" dxfId="504" priority="402">
      <formula>$I$49&lt;&gt;""</formula>
    </cfRule>
    <cfRule type="expression" dxfId="503" priority="403">
      <formula>$A$2="SCRIVI 2 SUL LATO DI ROTAZIONE (CAVE DA ESEGUIRE SU ALTEZZA O LARGHEZZA)"</formula>
    </cfRule>
    <cfRule type="expression" dxfId="502" priority="404">
      <formula>$A$2="FORI CERNIERE SU ALTEZZA O LARGHEZZA,                                         SENZA FORI SCRIVI  0  (SUL LATO DI ROTAZIONE)"</formula>
    </cfRule>
  </conditionalFormatting>
  <conditionalFormatting sqref="I53:J56">
    <cfRule type="expression" dxfId="501" priority="163">
      <formula>AND($D$53&lt;&gt;"",$M$53&lt;&gt;"")</formula>
    </cfRule>
  </conditionalFormatting>
  <conditionalFormatting sqref="I53:J68">
    <cfRule type="expression" dxfId="500" priority="102">
      <formula>R53&lt;&gt;""</formula>
    </cfRule>
    <cfRule type="expression" dxfId="499" priority="103">
      <formula>I53&lt;&gt;""</formula>
    </cfRule>
  </conditionalFormatting>
  <conditionalFormatting sqref="I57:J60">
    <cfRule type="expression" dxfId="498" priority="116">
      <formula>AND($D$57&lt;&gt;"",$M$57&lt;&gt;"")</formula>
    </cfRule>
  </conditionalFormatting>
  <conditionalFormatting sqref="I61:J64">
    <cfRule type="expression" dxfId="497" priority="110">
      <formula>AND($D$61&lt;&gt;"",$M$61&lt;&gt;"")</formula>
    </cfRule>
  </conditionalFormatting>
  <conditionalFormatting sqref="I65:J68">
    <cfRule type="expression" dxfId="496" priority="104">
      <formula>AND($D$65&lt;&gt;"",$M$65&lt;&gt;"")</formula>
    </cfRule>
  </conditionalFormatting>
  <conditionalFormatting sqref="M39">
    <cfRule type="expression" dxfId="495" priority="225">
      <formula>$M$39&lt;&gt;""</formula>
    </cfRule>
  </conditionalFormatting>
  <conditionalFormatting sqref="M37:O37">
    <cfRule type="expression" dxfId="494" priority="3">
      <formula>$M$37&lt;&gt;""</formula>
    </cfRule>
    <cfRule type="expression" dxfId="493" priority="4">
      <formula>AND($A$37&lt;&gt;"",$M$35&lt;&gt;"")</formula>
    </cfRule>
  </conditionalFormatting>
  <conditionalFormatting sqref="M49:Q52">
    <cfRule type="expression" dxfId="492" priority="406">
      <formula>$A$2="LARGHEZZA"</formula>
    </cfRule>
    <cfRule type="expression" dxfId="491" priority="405">
      <formula>$M$49&lt;&gt;""</formula>
    </cfRule>
  </conditionalFormatting>
  <conditionalFormatting sqref="M53:Q56">
    <cfRule type="expression" dxfId="490" priority="186">
      <formula>$M$53&lt;&gt;""</formula>
    </cfRule>
  </conditionalFormatting>
  <conditionalFormatting sqref="M53:Q68">
    <cfRule type="expression" dxfId="489" priority="191">
      <formula>D53&lt;&gt;""</formula>
    </cfRule>
  </conditionalFormatting>
  <conditionalFormatting sqref="M57:Q60">
    <cfRule type="expression" dxfId="488" priority="189">
      <formula>$M$57&lt;&gt;""</formula>
    </cfRule>
  </conditionalFormatting>
  <conditionalFormatting sqref="M61:Q64">
    <cfRule type="expression" dxfId="487" priority="187">
      <formula>$M$61&lt;&gt;""</formula>
    </cfRule>
  </conditionalFormatting>
  <conditionalFormatting sqref="M65:Q68">
    <cfRule type="expression" dxfId="486" priority="185">
      <formula>$M$65&lt;&gt;""</formula>
    </cfRule>
  </conditionalFormatting>
  <conditionalFormatting sqref="M9:V10">
    <cfRule type="expression" dxfId="485" priority="432">
      <formula>$M$9&lt;&gt;""</formula>
    </cfRule>
    <cfRule type="expression" dxfId="484" priority="433">
      <formula>$A$2="CLICCA E SELEZIONA SE RITIRARE MERCE IN VPA O SE VOLETE LA CONSEGNA"</formula>
    </cfRule>
  </conditionalFormatting>
  <conditionalFormatting sqref="M12:V13">
    <cfRule type="expression" dxfId="483" priority="431">
      <formula>$A$2="COMPILA IL CAMPO DELLA RAGIONE SOCIALE"</formula>
    </cfRule>
    <cfRule type="expression" dxfId="482" priority="430">
      <formula>$M$12&lt;&gt;""</formula>
    </cfRule>
  </conditionalFormatting>
  <conditionalFormatting sqref="M15:V16">
    <cfRule type="expression" dxfId="481" priority="429">
      <formula>$A$2="COMPILA IL CAMPO CITTA'"</formula>
    </cfRule>
    <cfRule type="expression" dxfId="480" priority="428">
      <formula>$M$15&lt;&gt;""</formula>
    </cfRule>
  </conditionalFormatting>
  <conditionalFormatting sqref="M23:V24">
    <cfRule type="expression" dxfId="479" priority="426">
      <formula>$A$2="CLICCA E SCEGLI SE E' MONTATA O SMONTATA"</formula>
    </cfRule>
    <cfRule type="expression" dxfId="478" priority="425">
      <formula>$M$23&lt;&gt;""</formula>
    </cfRule>
  </conditionalFormatting>
  <conditionalFormatting sqref="M26:V27">
    <cfRule type="expression" dxfId="477" priority="424">
      <formula>$A$2="CLICCA E SELEZIONA IL PROFILO SCELTO"</formula>
    </cfRule>
    <cfRule type="expression" dxfId="476" priority="423">
      <formula>$M$26&lt;&gt;""</formula>
    </cfRule>
  </conditionalFormatting>
  <conditionalFormatting sqref="M29:V29">
    <cfRule type="expression" dxfId="475" priority="422">
      <formula>$A$2="CLICCA E SELEZIONA LA FINITURA SCELTA"</formula>
    </cfRule>
    <cfRule type="expression" dxfId="474" priority="421">
      <formula>$M$29&lt;&gt;""</formula>
    </cfRule>
  </conditionalFormatting>
  <conditionalFormatting sqref="M30:V31">
    <cfRule type="expression" dxfId="473" priority="420">
      <formula>$A$2="CLICCA E SELEZIONA SE VOLETE LE CERNIERE OPPURE NO"</formula>
    </cfRule>
    <cfRule type="expression" dxfId="472" priority="419">
      <formula>$M$30&lt;&gt;""</formula>
    </cfRule>
  </conditionalFormatting>
  <conditionalFormatting sqref="M33:V33">
    <cfRule type="expression" dxfId="471" priority="417">
      <formula>$M$33&lt;&gt;""</formula>
    </cfRule>
    <cfRule type="expression" dxfId="470" priority="418">
      <formula>$A$2="CLICCA E SELEZIONA PER QUALE CERNIERA FARE LA PREDISPOSIZIONE"</formula>
    </cfRule>
  </conditionalFormatting>
  <conditionalFormatting sqref="M34:V34">
    <cfRule type="expression" dxfId="469" priority="226">
      <formula>$M$34&lt;&gt;""</formula>
    </cfRule>
  </conditionalFormatting>
  <conditionalFormatting sqref="M35:V36">
    <cfRule type="expression" dxfId="468" priority="416">
      <formula>$A$2="CLICCA E SELEZIONA LA FINITURA DELLE CERNIERE SCELTE"</formula>
    </cfRule>
    <cfRule type="expression" dxfId="467" priority="415">
      <formula>$M$35&lt;&gt;""</formula>
    </cfRule>
  </conditionalFormatting>
  <conditionalFormatting sqref="M38:AB38">
    <cfRule type="expression" dxfId="466" priority="414">
      <formula>$A$2="CLICCA E SELEZIONA VETRO, NO VETRO OPPURE GRES"</formula>
    </cfRule>
    <cfRule type="expression" dxfId="465" priority="413">
      <formula>$M$38&lt;&gt;""</formula>
    </cfRule>
  </conditionalFormatting>
  <conditionalFormatting sqref="R49:S52">
    <cfRule type="expression" dxfId="464" priority="401">
      <formula>$A$2="FORI CERNIERE SU ALTEZZA O LARGHEZZA,                                         SENZA FORI SCRIVI  0  (SUL LATO DI ROTAZIONE)"</formula>
    </cfRule>
    <cfRule type="expression" dxfId="463" priority="399">
      <formula>$I$49&lt;&gt;""</formula>
    </cfRule>
    <cfRule type="expression" dxfId="462" priority="10">
      <formula>$R$49&lt;&gt;""</formula>
    </cfRule>
    <cfRule type="expression" dxfId="461" priority="400">
      <formula>$A$2="SCRIVI 2 SUL LATO DI ROTAZIONE (CAVE DA ESEGUIRE SU ALTEZZA O LARGHEZZA)"</formula>
    </cfRule>
  </conditionalFormatting>
  <conditionalFormatting sqref="R53:S56">
    <cfRule type="expression" dxfId="460" priority="134">
      <formula>AND($D$53&lt;&gt;"",$M$53&lt;&gt;"")</formula>
    </cfRule>
  </conditionalFormatting>
  <conditionalFormatting sqref="R53:S68">
    <cfRule type="expression" dxfId="459" priority="99">
      <formula>I53&lt;&gt;""</formula>
    </cfRule>
    <cfRule type="expression" dxfId="458" priority="100">
      <formula>R53&lt;&gt;""</formula>
    </cfRule>
  </conditionalFormatting>
  <conditionalFormatting sqref="R57:S60">
    <cfRule type="expression" dxfId="457" priority="113">
      <formula>AND($D$57&lt;&gt;"",$M$57&lt;&gt;"")</formula>
    </cfRule>
  </conditionalFormatting>
  <conditionalFormatting sqref="R61:S64">
    <cfRule type="expression" dxfId="456" priority="107">
      <formula>AND($D$61&lt;&gt;"",$M$61&lt;&gt;"")</formula>
    </cfRule>
  </conditionalFormatting>
  <conditionalFormatting sqref="R65:S68">
    <cfRule type="expression" dxfId="455" priority="101">
      <formula>AND($D$65&lt;&gt;"",$M$65&lt;&gt;"")</formula>
    </cfRule>
  </conditionalFormatting>
  <conditionalFormatting sqref="T49:U52">
    <cfRule type="expression" dxfId="453" priority="398">
      <formula>$T$49&lt;&gt;""</formula>
    </cfRule>
    <cfRule type="expression" dxfId="452" priority="216">
      <formula>$A$2="CERNIERE VPA SCRIVI IL SORMONTO, -3  SE E' IN LUCE , PER ALTRI MARCHI SCRIVI IL 'K', PER SPECCHIERA SCRIVI 'ASOLE'"</formula>
    </cfRule>
  </conditionalFormatting>
  <conditionalFormatting sqref="T53:U56">
    <cfRule type="expression" dxfId="450" priority="98">
      <formula>$M$53&lt;&gt;""</formula>
    </cfRule>
    <cfRule type="expression" dxfId="449" priority="16">
      <formula>AND($I$53="",$R$53="")</formula>
    </cfRule>
    <cfRule type="expression" dxfId="448" priority="97">
      <formula>$T$53&lt;&gt;""</formula>
    </cfRule>
  </conditionalFormatting>
  <conditionalFormatting sqref="T57:U60">
    <cfRule type="expression" dxfId="446" priority="94">
      <formula>$T$57&lt;&gt;""</formula>
    </cfRule>
    <cfRule type="expression" dxfId="445" priority="95">
      <formula>$M$57&lt;&gt;""</formula>
    </cfRule>
    <cfRule type="expression" dxfId="444" priority="15">
      <formula>AND($I$57="",$R$57="")</formula>
    </cfRule>
  </conditionalFormatting>
  <conditionalFormatting sqref="T61:U64">
    <cfRule type="expression" dxfId="442" priority="91">
      <formula>$T$61&lt;&gt;""</formula>
    </cfRule>
    <cfRule type="expression" dxfId="441" priority="92">
      <formula>$M$61&lt;&gt;""</formula>
    </cfRule>
    <cfRule type="expression" dxfId="440" priority="14">
      <formula>AND($I$61="",$R$61="")</formula>
    </cfRule>
  </conditionalFormatting>
  <conditionalFormatting sqref="T65:U68">
    <cfRule type="expression" dxfId="439" priority="88">
      <formula>$T$65&lt;&gt;""</formula>
    </cfRule>
    <cfRule type="expression" dxfId="438" priority="89">
      <formula>$M$65&lt;&gt;""</formula>
    </cfRule>
    <cfRule type="expression" dxfId="437" priority="13">
      <formula>AND($I$65="",$R$65="")</formula>
    </cfRule>
  </conditionalFormatting>
  <conditionalFormatting sqref="V49:W52">
    <cfRule type="expression" dxfId="435" priority="392">
      <formula>$A$2="IL SORMONTO E' DATO DALLA FORATURA SU CAPPELLO E BASAMENTO;   SCRIVI QUANTE ANTE  SX o DX"</formula>
    </cfRule>
  </conditionalFormatting>
  <conditionalFormatting sqref="V53:W68">
    <cfRule type="expression" dxfId="434" priority="276">
      <formula>V53+X53=B53</formula>
    </cfRule>
    <cfRule type="expression" dxfId="433" priority="277">
      <formula>T53&lt;&gt;""</formula>
    </cfRule>
  </conditionalFormatting>
  <conditionalFormatting sqref="V49:Y52">
    <cfRule type="expression" priority="1">
      <formula>"(V49+X49)=B49"</formula>
    </cfRule>
    <cfRule type="expression" dxfId="432" priority="393">
      <formula>$A$2="QUANTE ANTE  SX o DX"</formula>
    </cfRule>
  </conditionalFormatting>
  <conditionalFormatting sqref="X49:Y52">
    <cfRule type="expression" dxfId="431" priority="2">
      <formula>$A$2="IL SORMONTO E' DATO DALLA FORATURA SU CAPPELLO E BASAMENTO;   SCRIVI QUANTE ANTE  SX o DX"</formula>
    </cfRule>
  </conditionalFormatting>
  <conditionalFormatting sqref="X53:Y68">
    <cfRule type="expression" dxfId="430" priority="270">
      <formula>X53+V53=B53</formula>
    </cfRule>
    <cfRule type="expression" dxfId="429" priority="271">
      <formula>T53&lt;&gt;""</formula>
    </cfRule>
  </conditionalFormatting>
  <conditionalFormatting sqref="AA65">
    <cfRule type="expression" dxfId="428" priority="254">
      <formula>AA65&lt;&gt;""</formula>
    </cfRule>
  </conditionalFormatting>
  <conditionalFormatting sqref="AA50:AG52">
    <cfRule type="expression" dxfId="427" priority="391">
      <formula>AND($B$53="",$A$2="ORDINE OK, NEI CAMPI VERDI CLICCA A DX SE CON MANIGLIA E SOTTO PER FORATURE PARTICOLARI")</formula>
    </cfRule>
    <cfRule type="expression" dxfId="426" priority="390">
      <formula>$AA$50&lt;&gt;""</formula>
    </cfRule>
  </conditionalFormatting>
  <conditionalFormatting sqref="AA54:AG56">
    <cfRule type="expression" dxfId="423" priority="268">
      <formula>OR($AA$54&lt;&gt;"",$B$57&lt;&gt;"")</formula>
    </cfRule>
    <cfRule type="expression" dxfId="422" priority="269">
      <formula>T53&lt;&gt;""</formula>
    </cfRule>
  </conditionalFormatting>
  <conditionalFormatting sqref="AA58:AG60">
    <cfRule type="expression" dxfId="420" priority="260">
      <formula>OR($AA$58&lt;&gt;"",$B$61&lt;&gt;"")</formula>
    </cfRule>
    <cfRule type="expression" dxfId="419" priority="261">
      <formula>T57&lt;&gt;""</formula>
    </cfRule>
  </conditionalFormatting>
  <conditionalFormatting sqref="AA62:AG64">
    <cfRule type="expression" dxfId="417" priority="258">
      <formula>OR($AA$62&lt;&gt;"",$B$65&lt;&gt;"")</formula>
    </cfRule>
    <cfRule type="expression" dxfId="416" priority="259">
      <formula>T61&lt;&gt;""</formula>
    </cfRule>
  </conditionalFormatting>
  <conditionalFormatting sqref="AH65">
    <cfRule type="expression" dxfId="414" priority="245">
      <formula>AA65&lt;&gt;""</formula>
    </cfRule>
    <cfRule type="expression" dxfId="413" priority="244">
      <formula>AH65&lt;&gt;""</formula>
    </cfRule>
  </conditionalFormatting>
  <conditionalFormatting sqref="AH50:AI52">
    <cfRule type="expression" dxfId="412" priority="389">
      <formula>AA50&lt;&gt;""</formula>
    </cfRule>
    <cfRule type="expression" dxfId="411" priority="388">
      <formula>AH50&lt;&gt;""</formula>
    </cfRule>
  </conditionalFormatting>
  <conditionalFormatting sqref="AH54:AI56">
    <cfRule type="expression" dxfId="410" priority="251">
      <formula>AA54&lt;&gt;""</formula>
    </cfRule>
    <cfRule type="expression" dxfId="409" priority="250">
      <formula>AH54&lt;&gt;""</formula>
    </cfRule>
  </conditionalFormatting>
  <conditionalFormatting sqref="AH58:AI60">
    <cfRule type="expression" dxfId="408" priority="248">
      <formula>AH58&lt;&gt;""</formula>
    </cfRule>
    <cfRule type="expression" dxfId="407" priority="249">
      <formula>AA58&lt;&gt;""</formula>
    </cfRule>
  </conditionalFormatting>
  <conditionalFormatting sqref="AH62:AI64">
    <cfRule type="expression" dxfId="406" priority="246">
      <formula>AH62&lt;&gt;""</formula>
    </cfRule>
    <cfRule type="expression" dxfId="405" priority="247">
      <formula>AA62&lt;&gt;""</formula>
    </cfRule>
  </conditionalFormatting>
  <conditionalFormatting sqref="AJ50">
    <cfRule type="expression" dxfId="404" priority="387">
      <formula>AA50&lt;&gt;""</formula>
    </cfRule>
    <cfRule type="expression" dxfId="403" priority="386">
      <formula>AJ50&lt;&gt;""</formula>
    </cfRule>
  </conditionalFormatting>
  <conditionalFormatting sqref="AJ54">
    <cfRule type="expression" dxfId="402" priority="243">
      <formula>AA54&lt;&gt;""</formula>
    </cfRule>
    <cfRule type="expression" dxfId="401" priority="242">
      <formula>AJ54&lt;&gt;""</formula>
    </cfRule>
  </conditionalFormatting>
  <conditionalFormatting sqref="AJ58">
    <cfRule type="expression" dxfId="400" priority="240">
      <formula>AJ58&lt;&gt;""</formula>
    </cfRule>
    <cfRule type="expression" dxfId="399" priority="241">
      <formula>AA58&lt;&gt;""</formula>
    </cfRule>
  </conditionalFormatting>
  <conditionalFormatting sqref="AJ62">
    <cfRule type="expression" dxfId="398" priority="238">
      <formula>AJ62&lt;&gt;""</formula>
    </cfRule>
    <cfRule type="expression" dxfId="397" priority="239">
      <formula>AA62&lt;&gt;""</formula>
    </cfRule>
  </conditionalFormatting>
  <conditionalFormatting sqref="AJ65">
    <cfRule type="expression" dxfId="396" priority="236">
      <formula>AJ65&lt;&gt;""</formula>
    </cfRule>
    <cfRule type="expression" dxfId="395" priority="237">
      <formula>AA65&lt;&gt;""</formula>
    </cfRule>
  </conditionalFormatting>
  <conditionalFormatting sqref="AL50">
    <cfRule type="expression" dxfId="394" priority="385">
      <formula>AA50&lt;&gt;""</formula>
    </cfRule>
    <cfRule type="expression" dxfId="393" priority="384">
      <formula>AL50&lt;&gt;""</formula>
    </cfRule>
  </conditionalFormatting>
  <conditionalFormatting sqref="AL54">
    <cfRule type="expression" dxfId="392" priority="234">
      <formula>AL54&lt;&gt;""</formula>
    </cfRule>
    <cfRule type="expression" dxfId="391" priority="235">
      <formula>AA54&lt;&gt;""</formula>
    </cfRule>
  </conditionalFormatting>
  <conditionalFormatting sqref="AL58">
    <cfRule type="expression" dxfId="390" priority="232">
      <formula>AL58&lt;&gt;""</formula>
    </cfRule>
    <cfRule type="expression" dxfId="389" priority="233">
      <formula>AA58&lt;&gt;""</formula>
    </cfRule>
  </conditionalFormatting>
  <conditionalFormatting sqref="AL62">
    <cfRule type="expression" dxfId="388" priority="230">
      <formula>AL62&lt;&gt;""</formula>
    </cfRule>
    <cfRule type="expression" dxfId="387" priority="231">
      <formula>AA62&lt;&gt;""</formula>
    </cfRule>
  </conditionalFormatting>
  <conditionalFormatting sqref="AL65">
    <cfRule type="expression" dxfId="386" priority="228">
      <formula>AL65&lt;&gt;""</formula>
    </cfRule>
    <cfRule type="expression" dxfId="385" priority="229">
      <formula>AA65&lt;&gt;""</formula>
    </cfRule>
  </conditionalFormatting>
  <conditionalFormatting sqref="AN49:AN52">
    <cfRule type="expression" dxfId="384" priority="9">
      <formula>AND($AW$35="SI",$AX$33="",$AZ$23="",$AX$4="")</formula>
    </cfRule>
  </conditionalFormatting>
  <conditionalFormatting sqref="AN53:AN56">
    <cfRule type="expression" dxfId="383" priority="8">
      <formula>AND($BJ$35="SI",$BK$33="",$BM$23="",$BK$4="")</formula>
    </cfRule>
  </conditionalFormatting>
  <conditionalFormatting sqref="AN57:AN60">
    <cfRule type="expression" dxfId="382" priority="7">
      <formula>AND($BW$35="SI",$BX$33="",$BZ$23="",$BX$4="")</formula>
    </cfRule>
  </conditionalFormatting>
  <conditionalFormatting sqref="AN61:AN64">
    <cfRule type="expression" dxfId="381" priority="6">
      <formula>AND($AW$71="SI",$AX$69="",$AZ$58="",$AX$39="")</formula>
    </cfRule>
  </conditionalFormatting>
  <conditionalFormatting sqref="AN65:AN68">
    <cfRule type="expression" dxfId="380" priority="5">
      <formula>AND($BJ$71="SI",$BK$69="",$BM$58="",$BK$39="")</formula>
    </cfRule>
  </conditionalFormatting>
  <conditionalFormatting sqref="AP35:AV35">
    <cfRule type="expression" dxfId="379" priority="210">
      <formula>OR($A$2="ORDINE OK, NEI CAMPI VERDI CLICCA A DX SE CON MANIGLIA E SOTTO PER FORATURE PARTICOLARI",$A$2="SE CON MANIGLIA CLICCA NELLA PAGINA A DX")</formula>
    </cfRule>
  </conditionalFormatting>
  <conditionalFormatting sqref="AR29">
    <cfRule type="expression" dxfId="378" priority="545">
      <formula>$I$49&gt;0</formula>
    </cfRule>
    <cfRule type="expression" dxfId="377" priority="546">
      <formula>$R$49&gt;0</formula>
    </cfRule>
  </conditionalFormatting>
  <conditionalFormatting sqref="AR8:AS9">
    <cfRule type="expression" dxfId="375" priority="86">
      <formula>AND($M$26="art. PR20",$M$33="DS 20")</formula>
    </cfRule>
    <cfRule type="expression" dxfId="373" priority="1813">
      <formula>$R$49&gt;0</formula>
    </cfRule>
    <cfRule type="expression" dxfId="372" priority="85">
      <formula>AND($M$26="art. PR30",$M$33="DS 30")</formula>
    </cfRule>
    <cfRule type="expression" dxfId="371" priority="1812">
      <formula>$I$49&gt;0</formula>
    </cfRule>
  </conditionalFormatting>
  <conditionalFormatting sqref="AR12:AS13">
    <cfRule type="expression" dxfId="370" priority="81">
      <formula>AND($M$26="art. PR30",$M$33="DS 30")</formula>
    </cfRule>
    <cfRule type="expression" dxfId="369" priority="82">
      <formula>AND($M$26="art. PR20",$M$33="DS 20")</formula>
    </cfRule>
    <cfRule type="expression" dxfId="368" priority="1787">
      <formula>$I$49=5</formula>
    </cfRule>
    <cfRule type="expression" dxfId="367" priority="1788">
      <formula>$I$49=6</formula>
    </cfRule>
    <cfRule type="expression" dxfId="366" priority="1789">
      <formula>$I$49=4</formula>
    </cfRule>
    <cfRule type="expression" dxfId="365" priority="1790">
      <formula>$R$49&gt;3</formula>
    </cfRule>
  </conditionalFormatting>
  <conditionalFormatting sqref="AR15:AS16">
    <cfRule type="expression" dxfId="364" priority="534">
      <formula>$R$49=6</formula>
    </cfRule>
    <cfRule type="expression" dxfId="363" priority="83">
      <formula>AND($M$26="art. PR30",$M$33="DS 30")</formula>
    </cfRule>
    <cfRule type="expression" dxfId="362" priority="84">
      <formula>AND($M$26="art. PR20",$M$33="DS 20")</formula>
    </cfRule>
    <cfRule type="expression" dxfId="361" priority="1810">
      <formula>$R$49=3</formula>
    </cfRule>
    <cfRule type="expression" dxfId="360" priority="1807">
      <formula>$I$49=6</formula>
    </cfRule>
    <cfRule type="expression" dxfId="359" priority="1808">
      <formula>$I$49=5</formula>
    </cfRule>
    <cfRule type="expression" dxfId="358" priority="1809">
      <formula>$I$49=3</formula>
    </cfRule>
  </conditionalFormatting>
  <conditionalFormatting sqref="AR19:AS20">
    <cfRule type="expression" dxfId="357" priority="1799">
      <formula>$I$49=4</formula>
    </cfRule>
    <cfRule type="expression" dxfId="356" priority="80">
      <formula>AND($M$26="art. PR20",$M$33="DS 20")</formula>
    </cfRule>
    <cfRule type="expression" dxfId="355" priority="1797">
      <formula>$I$49=6</formula>
    </cfRule>
    <cfRule type="expression" dxfId="354" priority="1800">
      <formula>$R$49&gt;3</formula>
    </cfRule>
    <cfRule type="expression" dxfId="353" priority="79">
      <formula>AND($M$26="art. PR30",$M$33="DS 30")</formula>
    </cfRule>
  </conditionalFormatting>
  <conditionalFormatting sqref="AR23:AS24">
    <cfRule type="expression" dxfId="352" priority="1791">
      <formula>$R$49=6</formula>
    </cfRule>
    <cfRule type="expression" dxfId="351" priority="1792">
      <formula>$I$49=6</formula>
    </cfRule>
    <cfRule type="expression" dxfId="350" priority="1795">
      <formula>$R$49=5</formula>
    </cfRule>
    <cfRule type="expression" dxfId="349" priority="1796">
      <formula>$R$49=3</formula>
    </cfRule>
    <cfRule type="expression" dxfId="348" priority="1793">
      <formula>$I$49=5</formula>
    </cfRule>
    <cfRule type="expression" dxfId="347" priority="77">
      <formula>AND($M$26="art. PR30",$M$33="DS 30")</formula>
    </cfRule>
    <cfRule type="expression" dxfId="346" priority="78">
      <formula>AND($M$26="art. PR20",$M$33="DS 20")</formula>
    </cfRule>
    <cfRule type="expression" dxfId="345" priority="1794">
      <formula>$I$49=3</formula>
    </cfRule>
  </conditionalFormatting>
  <conditionalFormatting sqref="AR26:AS27">
    <cfRule type="expression" dxfId="344" priority="1803">
      <formula>$I$49=4</formula>
    </cfRule>
    <cfRule type="expression" dxfId="343" priority="1804">
      <formula>$R$49&gt;3</formula>
    </cfRule>
    <cfRule type="expression" dxfId="342" priority="75">
      <formula>AND($M$26="art. PR30",$M$33="DS 30")</formula>
    </cfRule>
    <cfRule type="expression" dxfId="341" priority="76">
      <formula>AND($M$26="art. PR20",$M$33="DS 20")</formula>
    </cfRule>
    <cfRule type="expression" dxfId="340" priority="1801">
      <formula>$I$49=6</formula>
    </cfRule>
    <cfRule type="expression" dxfId="339" priority="1802">
      <formula>$I$49=5</formula>
    </cfRule>
  </conditionalFormatting>
  <conditionalFormatting sqref="AR29:AS29">
    <cfRule type="expression" dxfId="338" priority="74">
      <formula>AND($M$26="art. PR20",$M$33="DS 20")</formula>
    </cfRule>
    <cfRule type="expression" dxfId="337" priority="73">
      <formula>AND($M$26="art. PR30",$M$33="DS 30")</formula>
    </cfRule>
  </conditionalFormatting>
  <conditionalFormatting sqref="AR43:AS44">
    <cfRule type="expression" dxfId="336" priority="71">
      <formula>AND($M$26="art. PR30",$M$33="DS 30")</formula>
    </cfRule>
    <cfRule type="expression" dxfId="334" priority="1149">
      <formula>$I$61&gt;0</formula>
    </cfRule>
    <cfRule type="expression" dxfId="333" priority="72">
      <formula>AND($M$26="art. PR20",$M$33="DS 20")</formula>
    </cfRule>
    <cfRule type="expression" dxfId="332" priority="1150">
      <formula>$R$61&gt;0</formula>
    </cfRule>
  </conditionalFormatting>
  <conditionalFormatting sqref="AR47:AS48">
    <cfRule type="expression" dxfId="331" priority="70">
      <formula>AND($M$26="art. PR20",$M$33="DS 20")</formula>
    </cfRule>
    <cfRule type="expression" dxfId="330" priority="69">
      <formula>AND($M$26="art. PR30",$M$33="DS 30")</formula>
    </cfRule>
    <cfRule type="expression" dxfId="329" priority="1320">
      <formula>$I$61=5</formula>
    </cfRule>
    <cfRule type="expression" dxfId="328" priority="1354">
      <formula>$I$61=6</formula>
    </cfRule>
    <cfRule type="expression" dxfId="327" priority="1355">
      <formula>$I$61=4</formula>
    </cfRule>
    <cfRule type="expression" dxfId="326" priority="1356">
      <formula>$R$61&gt;3</formula>
    </cfRule>
  </conditionalFormatting>
  <conditionalFormatting sqref="AR50:AS51">
    <cfRule type="expression" dxfId="325" priority="1324">
      <formula>$I$61=3</formula>
    </cfRule>
    <cfRule type="expression" dxfId="324" priority="68">
      <formula>AND($M$26="art. PR20",$M$33="DS 20")</formula>
    </cfRule>
    <cfRule type="expression" dxfId="323" priority="535">
      <formula>$R$61=6</formula>
    </cfRule>
    <cfRule type="expression" dxfId="322" priority="67">
      <formula>AND($M$26="art. PR30",$M$33="DS 30")</formula>
    </cfRule>
    <cfRule type="expression" dxfId="321" priority="1227">
      <formula>$I$61=6</formula>
    </cfRule>
    <cfRule type="expression" dxfId="320" priority="1323">
      <formula>$I$61=5</formula>
    </cfRule>
    <cfRule type="expression" dxfId="319" priority="1325">
      <formula>$R$61=3</formula>
    </cfRule>
  </conditionalFormatting>
  <conditionalFormatting sqref="AR54:AS55">
    <cfRule type="expression" dxfId="318" priority="1351">
      <formula>$I$61=4</formula>
    </cfRule>
    <cfRule type="expression" dxfId="317" priority="1352">
      <formula>$R$61&gt;3</formula>
    </cfRule>
    <cfRule type="expression" dxfId="316" priority="65">
      <formula>AND($M$26="art. PR30",$M$33="DS 30")</formula>
    </cfRule>
    <cfRule type="expression" dxfId="315" priority="1321">
      <formula>$I$61=6</formula>
    </cfRule>
    <cfRule type="expression" dxfId="314" priority="66">
      <formula>AND($M$26="art. PR20",$M$33="DS 20")</formula>
    </cfRule>
  </conditionalFormatting>
  <conditionalFormatting sqref="AR58:AS59">
    <cfRule type="expression" dxfId="313" priority="1345">
      <formula>$I$61=3</formula>
    </cfRule>
    <cfRule type="expression" dxfId="312" priority="1346">
      <formula>$R$61=5</formula>
    </cfRule>
    <cfRule type="expression" dxfId="311" priority="1353">
      <formula>$R$61=3</formula>
    </cfRule>
    <cfRule type="expression" dxfId="310" priority="64">
      <formula>AND($M$26="art. PR20",$M$33="DS 20")</formula>
    </cfRule>
    <cfRule type="expression" dxfId="309" priority="63">
      <formula>AND($M$26="art. PR30",$M$33="DS 30")</formula>
    </cfRule>
    <cfRule type="expression" dxfId="308" priority="1226">
      <formula>$R$61=6</formula>
    </cfRule>
    <cfRule type="expression" dxfId="307" priority="1326">
      <formula>$I$61=6</formula>
    </cfRule>
    <cfRule type="expression" dxfId="306" priority="1327">
      <formula>$I$61=5</formula>
    </cfRule>
  </conditionalFormatting>
  <conditionalFormatting sqref="AR61:AS62">
    <cfRule type="expression" dxfId="305" priority="1347">
      <formula>$I$61=5</formula>
    </cfRule>
    <cfRule type="expression" dxfId="304" priority="1348">
      <formula>$I$61=4</formula>
    </cfRule>
    <cfRule type="expression" dxfId="303" priority="1349">
      <formula>$R$61&gt;3</formula>
    </cfRule>
    <cfRule type="expression" dxfId="302" priority="61">
      <formula>AND($M$26="art. PR30",$M$33="DS 30")</formula>
    </cfRule>
    <cfRule type="expression" dxfId="301" priority="62">
      <formula>AND($M$26="art. PR20",$M$33="DS 20")</formula>
    </cfRule>
    <cfRule type="expression" dxfId="300" priority="1322">
      <formula>$I$61=6</formula>
    </cfRule>
  </conditionalFormatting>
  <conditionalFormatting sqref="AR65:AS65">
    <cfRule type="expression" dxfId="299" priority="1145">
      <formula>$R$61&gt;0</formula>
    </cfRule>
    <cfRule type="expression" dxfId="298" priority="1146">
      <formula>$I$61&gt;0</formula>
    </cfRule>
    <cfRule type="expression" dxfId="297" priority="60">
      <formula>AND($M$26="art. PR20",$M$33="DS 20")</formula>
    </cfRule>
    <cfRule type="expression" dxfId="296" priority="59">
      <formula>AND($M$26="art. PR30",$M$33="DS 30")</formula>
    </cfRule>
  </conditionalFormatting>
  <conditionalFormatting sqref="AV2:AV3">
    <cfRule type="expression" dxfId="294" priority="1597">
      <formula>$V$49&gt;0</formula>
    </cfRule>
  </conditionalFormatting>
  <conditionalFormatting sqref="AV37:AV38">
    <cfRule type="expression" dxfId="293" priority="1337">
      <formula>$V$61&gt;0</formula>
    </cfRule>
  </conditionalFormatting>
  <conditionalFormatting sqref="AW4:AW5">
    <cfRule type="expression" dxfId="292" priority="1653">
      <formula>$AX$4&gt;1</formula>
    </cfRule>
    <cfRule type="expression" dxfId="291" priority="1594">
      <formula>$AX$4&gt;0</formula>
    </cfRule>
    <cfRule type="expression" dxfId="290" priority="504">
      <formula>$AW$4&gt;0</formula>
    </cfRule>
  </conditionalFormatting>
  <conditionalFormatting sqref="AW33">
    <cfRule type="expression" dxfId="289" priority="506">
      <formula>$AW$33&gt;0</formula>
    </cfRule>
    <cfRule type="expression" dxfId="288" priority="1651">
      <formula>$AX$33&gt;0</formula>
    </cfRule>
  </conditionalFormatting>
  <conditionalFormatting sqref="AW35">
    <cfRule type="expression" dxfId="287" priority="473">
      <formula>$AW$35=""</formula>
    </cfRule>
    <cfRule type="expression" dxfId="286" priority="227">
      <formula>OR($A$2="ORDINE OK, NEI CAMPI VERDI CLICCA A DX SE CON MANIGLIA E SOTTO PER FORATURE PARTICOLARI",$A$2="SE CON MANIGLIA CLICCA NELLA PAGINA A DX")</formula>
    </cfRule>
  </conditionalFormatting>
  <conditionalFormatting sqref="AW39:AW40">
    <cfRule type="expression" dxfId="285" priority="481">
      <formula>$AW$39&gt;0</formula>
    </cfRule>
    <cfRule type="expression" dxfId="284" priority="1344">
      <formula>$AX$39&gt;1</formula>
    </cfRule>
    <cfRule type="expression" dxfId="283" priority="1334">
      <formula>$AX$39&gt;0</formula>
    </cfRule>
  </conditionalFormatting>
  <conditionalFormatting sqref="AW69">
    <cfRule type="expression" dxfId="282" priority="479">
      <formula>$AW$69&gt;0</formula>
    </cfRule>
    <cfRule type="expression" dxfId="281" priority="1217">
      <formula>$AX$69&gt;0</formula>
    </cfRule>
  </conditionalFormatting>
  <conditionalFormatting sqref="AW71">
    <cfRule type="expression" dxfId="280" priority="445">
      <formula>$AW$71=""</formula>
    </cfRule>
  </conditionalFormatting>
  <conditionalFormatting sqref="AX2:AX3">
    <cfRule type="expression" dxfId="279" priority="502">
      <formula>$X$49&gt;0</formula>
    </cfRule>
  </conditionalFormatting>
  <conditionalFormatting sqref="AX4">
    <cfRule type="expression" dxfId="277" priority="1595">
      <formula>$AZ$23&gt;0</formula>
    </cfRule>
    <cfRule type="expression" dxfId="275" priority="715">
      <formula>$AX$33&gt;0</formula>
    </cfRule>
  </conditionalFormatting>
  <conditionalFormatting sqref="AX4:AX5">
    <cfRule type="expression" dxfId="274" priority="1777">
      <formula>$AX$4&gt;0</formula>
    </cfRule>
  </conditionalFormatting>
  <conditionalFormatting sqref="AX33">
    <cfRule type="expression" dxfId="273" priority="1652">
      <formula>$AZ$23&gt;0</formula>
    </cfRule>
    <cfRule type="expression" dxfId="272" priority="1775">
      <formula>$AX$33&gt;0</formula>
    </cfRule>
    <cfRule type="expression" dxfId="270" priority="714">
      <formula>$AX$4&gt;0</formula>
    </cfRule>
  </conditionalFormatting>
  <conditionalFormatting sqref="AX35">
    <cfRule type="expression" dxfId="268" priority="471">
      <formula>$AX$35&lt;&gt;""</formula>
    </cfRule>
    <cfRule type="expression" dxfId="267" priority="472">
      <formula>$AW$35="SI"</formula>
    </cfRule>
  </conditionalFormatting>
  <conditionalFormatting sqref="AX37:AX38">
    <cfRule type="expression" dxfId="266" priority="1336">
      <formula>$X$61&gt;0</formula>
    </cfRule>
  </conditionalFormatting>
  <conditionalFormatting sqref="AX39">
    <cfRule type="expression" dxfId="265" priority="1318">
      <formula>$AX$69&gt;0</formula>
    </cfRule>
    <cfRule type="expression" dxfId="262" priority="707">
      <formula>$AZ$58&gt;0</formula>
    </cfRule>
  </conditionalFormatting>
  <conditionalFormatting sqref="AX39:AX40">
    <cfRule type="expression" dxfId="261" priority="1319">
      <formula>$AX$39&gt;0</formula>
    </cfRule>
  </conditionalFormatting>
  <conditionalFormatting sqref="AX69">
    <cfRule type="expression" dxfId="259" priority="1215">
      <formula>$AZ$58&gt;0</formula>
    </cfRule>
    <cfRule type="expression" dxfId="258" priority="1216">
      <formula>$AX$69&gt;0</formula>
    </cfRule>
    <cfRule type="expression" dxfId="256" priority="705">
      <formula>$AX$39&gt;0</formula>
    </cfRule>
  </conditionalFormatting>
  <conditionalFormatting sqref="AX71:AZ71">
    <cfRule type="expression" dxfId="255" priority="456">
      <formula>$AW$71="SI"</formula>
    </cfRule>
    <cfRule type="expression" dxfId="254" priority="455">
      <formula>$AX$71&lt;&gt;""</formula>
    </cfRule>
  </conditionalFormatting>
  <conditionalFormatting sqref="AZ18">
    <cfRule type="expression" dxfId="253" priority="510">
      <formula>$AZ$23&gt;0</formula>
    </cfRule>
    <cfRule type="expression" dxfId="252" priority="509">
      <formula>$AZ$18&gt;0</formula>
    </cfRule>
  </conditionalFormatting>
  <conditionalFormatting sqref="AZ23">
    <cfRule type="expression" dxfId="250" priority="527">
      <formula>$AX$4&gt;0</formula>
    </cfRule>
    <cfRule type="expression" dxfId="248" priority="528">
      <formula>$AX$33&gt;0</formula>
    </cfRule>
  </conditionalFormatting>
  <conditionalFormatting sqref="AZ23:AZ32">
    <cfRule type="expression" dxfId="247" priority="529">
      <formula>$AZ$23&gt;0</formula>
    </cfRule>
  </conditionalFormatting>
  <conditionalFormatting sqref="AZ54">
    <cfRule type="expression" dxfId="246" priority="1332">
      <formula>$AZ$58&gt;0</formula>
    </cfRule>
  </conditionalFormatting>
  <conditionalFormatting sqref="AZ54:AZ57">
    <cfRule type="expression" dxfId="245" priority="483">
      <formula>$AZ$54&gt;0</formula>
    </cfRule>
  </conditionalFormatting>
  <conditionalFormatting sqref="AZ58">
    <cfRule type="expression" dxfId="244" priority="516">
      <formula>$AX$69&gt;0</formula>
    </cfRule>
    <cfRule type="expression" dxfId="243" priority="515">
      <formula>$AX$39&gt;0</formula>
    </cfRule>
  </conditionalFormatting>
  <conditionalFormatting sqref="AZ58:AZ68">
    <cfRule type="expression" dxfId="240" priority="517">
      <formula>$AZ$58&gt;0</formula>
    </cfRule>
  </conditionalFormatting>
  <conditionalFormatting sqref="BB6 BB13">
    <cfRule type="expression" dxfId="239" priority="798">
      <formula>$BB$6&lt;&gt;$BB$13</formula>
    </cfRule>
  </conditionalFormatting>
  <conditionalFormatting sqref="BB6">
    <cfRule type="expression" dxfId="238" priority="739">
      <formula>$BB$6=""</formula>
    </cfRule>
  </conditionalFormatting>
  <conditionalFormatting sqref="BB13">
    <cfRule type="expression" dxfId="237" priority="740">
      <formula>$BB$6=""</formula>
    </cfRule>
  </conditionalFormatting>
  <conditionalFormatting sqref="BB21">
    <cfRule type="expression" dxfId="236" priority="799">
      <formula>$BB$21&lt;&gt;""</formula>
    </cfRule>
  </conditionalFormatting>
  <conditionalFormatting sqref="BB41">
    <cfRule type="expression" dxfId="235" priority="734">
      <formula>$BB$41&lt;&gt;$BB$48</formula>
    </cfRule>
    <cfRule type="expression" dxfId="234" priority="733">
      <formula>$BB$41=""</formula>
    </cfRule>
  </conditionalFormatting>
  <conditionalFormatting sqref="BB48">
    <cfRule type="expression" dxfId="233" priority="727">
      <formula>$BB$41=""</formula>
    </cfRule>
    <cfRule type="expression" dxfId="232" priority="728">
      <formula>$BB$41&lt;&gt;$BB$48</formula>
    </cfRule>
  </conditionalFormatting>
  <conditionalFormatting sqref="BB56">
    <cfRule type="expression" priority="792">
      <formula>$BB$56&lt;&gt;""</formula>
    </cfRule>
  </conditionalFormatting>
  <conditionalFormatting sqref="BC35">
    <cfRule type="expression" dxfId="231" priority="465">
      <formula>$BC$35&lt;&gt;""</formula>
    </cfRule>
    <cfRule type="expression" dxfId="230" priority="466">
      <formula>$BA$35&lt;&gt;""</formula>
    </cfRule>
  </conditionalFormatting>
  <conditionalFormatting sqref="BC71">
    <cfRule type="expression" dxfId="229" priority="458">
      <formula>$BA$71&lt;&gt;""</formula>
    </cfRule>
    <cfRule type="expression" dxfId="228" priority="457">
      <formula>$BC$71&lt;&gt;""</formula>
    </cfRule>
  </conditionalFormatting>
  <conditionalFormatting sqref="BE47">
    <cfRule type="expression" dxfId="227" priority="1204">
      <formula>$R$65&gt;3</formula>
    </cfRule>
    <cfRule type="expression" dxfId="226" priority="1202">
      <formula>$I$65=6</formula>
    </cfRule>
    <cfRule type="expression" dxfId="225" priority="1203">
      <formula>$I$65=4</formula>
    </cfRule>
    <cfRule type="expression" dxfId="224" priority="1170">
      <formula>$I$65=5</formula>
    </cfRule>
  </conditionalFormatting>
  <conditionalFormatting sqref="BE8:BF9">
    <cfRule type="expression" dxfId="223" priority="1157">
      <formula>$I$53&gt;0</formula>
    </cfRule>
    <cfRule type="expression" dxfId="222" priority="1158">
      <formula>$R$53&gt;0</formula>
    </cfRule>
    <cfRule type="expression" dxfId="221" priority="58">
      <formula>AND($M$26="art. PR20",$M$33="DS 20")</formula>
    </cfRule>
    <cfRule type="expression" dxfId="220" priority="57">
      <formula>AND($M$26="art. PR30",$M$33="DS 30")</formula>
    </cfRule>
  </conditionalFormatting>
  <conditionalFormatting sqref="BE12:BF13">
    <cfRule type="expression" dxfId="218" priority="1475">
      <formula>$R$53&gt;3</formula>
    </cfRule>
    <cfRule type="expression" dxfId="217" priority="1474">
      <formula>$I$53=4</formula>
    </cfRule>
    <cfRule type="expression" dxfId="216" priority="1473">
      <formula>$I$53=6</formula>
    </cfRule>
    <cfRule type="expression" dxfId="215" priority="56">
      <formula>AND($M$26="art. PR20",$M$33="DS 20")</formula>
    </cfRule>
    <cfRule type="expression" dxfId="214" priority="55">
      <formula>AND($M$26="art. PR30",$M$33="DS 30")</formula>
    </cfRule>
    <cfRule type="expression" dxfId="213" priority="1437">
      <formula>$I$53=5</formula>
    </cfRule>
  </conditionalFormatting>
  <conditionalFormatting sqref="BE15:BF16">
    <cfRule type="expression" dxfId="212" priority="1361">
      <formula>$I$53=6</formula>
    </cfRule>
    <cfRule type="expression" dxfId="211" priority="981">
      <formula>$R$53=6</formula>
    </cfRule>
    <cfRule type="expression" dxfId="210" priority="53">
      <formula>AND($M$26="art. PR30",$M$33="DS 30")</formula>
    </cfRule>
    <cfRule type="expression" dxfId="209" priority="1444">
      <formula>$R$53=3</formula>
    </cfRule>
    <cfRule type="expression" dxfId="208" priority="1442">
      <formula>$I$53=3</formula>
    </cfRule>
    <cfRule type="expression" dxfId="207" priority="54">
      <formula>AND($M$26="art. PR20",$M$33="DS 20")</formula>
    </cfRule>
    <cfRule type="expression" dxfId="206" priority="1440">
      <formula>$I$53=5</formula>
    </cfRule>
  </conditionalFormatting>
  <conditionalFormatting sqref="BE19:BF20">
    <cfRule type="expression" dxfId="205" priority="51">
      <formula>AND($M$26="art. PR30",$M$33="DS 30")</formula>
    </cfRule>
    <cfRule type="expression" dxfId="204" priority="1471">
      <formula>$R$53&gt;3</formula>
    </cfRule>
    <cfRule type="expression" dxfId="203" priority="1470">
      <formula>$I$53=4</formula>
    </cfRule>
    <cfRule type="expression" dxfId="202" priority="52">
      <formula>AND($M$26="art. PR20",$M$33="DS 20")</formula>
    </cfRule>
    <cfRule type="expression" dxfId="201" priority="1438">
      <formula>$I$53=6</formula>
    </cfRule>
  </conditionalFormatting>
  <conditionalFormatting sqref="BE23:BF24">
    <cfRule type="expression" dxfId="200" priority="1359">
      <formula>$R$53=6</formula>
    </cfRule>
    <cfRule type="expression" dxfId="199" priority="1445">
      <formula>$I$53=6</formula>
    </cfRule>
    <cfRule type="expression" dxfId="198" priority="49">
      <formula>AND($M$26="art. PR30",$M$33="DS 30")</formula>
    </cfRule>
    <cfRule type="expression" dxfId="197" priority="1446">
      <formula>$I$53=5</formula>
    </cfRule>
    <cfRule type="expression" dxfId="196" priority="1464">
      <formula>$I$53=3</formula>
    </cfRule>
    <cfRule type="expression" dxfId="195" priority="1465">
      <formula>$R$53=5</formula>
    </cfRule>
    <cfRule type="expression" dxfId="194" priority="1472">
      <formula>$R$53=3</formula>
    </cfRule>
    <cfRule type="expression" dxfId="193" priority="50">
      <formula>AND($M$26="art. PR20",$M$33="DS 20")</formula>
    </cfRule>
  </conditionalFormatting>
  <conditionalFormatting sqref="BE26:BF27">
    <cfRule type="expression" dxfId="192" priority="47">
      <formula>AND($M$26="art. PR30",$M$33="DS 30")</formula>
    </cfRule>
    <cfRule type="expression" dxfId="191" priority="1439">
      <formula>$I$53=6</formula>
    </cfRule>
    <cfRule type="expression" dxfId="190" priority="48">
      <formula>AND($M$26="art. PR20",$M$33="DS 20")</formula>
    </cfRule>
    <cfRule type="expression" dxfId="189" priority="1466">
      <formula>$I$53=5</formula>
    </cfRule>
    <cfRule type="expression" dxfId="188" priority="1467">
      <formula>$I$53=4</formula>
    </cfRule>
    <cfRule type="expression" dxfId="187" priority="1468">
      <formula>$R$53&gt;3</formula>
    </cfRule>
  </conditionalFormatting>
  <conditionalFormatting sqref="BE29:BF29">
    <cfRule type="expression" dxfId="186" priority="542">
      <formula>$R$53&gt;0</formula>
    </cfRule>
    <cfRule type="expression" dxfId="185" priority="46">
      <formula>AND($M$26="art. PR20",$M$33="DS 20")</formula>
    </cfRule>
    <cfRule type="expression" dxfId="183" priority="541">
      <formula>$I$53&gt;0</formula>
    </cfRule>
    <cfRule type="expression" dxfId="182" priority="45">
      <formula>AND($M$26="art. PR30",$M$33="DS 30")</formula>
    </cfRule>
  </conditionalFormatting>
  <conditionalFormatting sqref="BE43:BF44">
    <cfRule type="expression" dxfId="181" priority="1148">
      <formula>$R$65&gt;0</formula>
    </cfRule>
    <cfRule type="expression" dxfId="179" priority="30">
      <formula>AND($M$26="art. PR20",$M$33="DS 20")</formula>
    </cfRule>
    <cfRule type="expression" dxfId="178" priority="29">
      <formula>AND($M$26="art. PR30",$M$33="DS 30")</formula>
    </cfRule>
    <cfRule type="expression" dxfId="177" priority="1147">
      <formula>$I$65&gt;0</formula>
    </cfRule>
  </conditionalFormatting>
  <conditionalFormatting sqref="BE47:BF48">
    <cfRule type="expression" dxfId="176" priority="27">
      <formula>AND($M$26="art. PR30",$M$33="DS 30")</formula>
    </cfRule>
    <cfRule type="expression" dxfId="175" priority="28">
      <formula>AND($M$26="art. PR20",$M$33="DS 20")</formula>
    </cfRule>
  </conditionalFormatting>
  <conditionalFormatting sqref="BE50:BF51">
    <cfRule type="expression" dxfId="174" priority="26">
      <formula>AND($M$26="art. PR20",$M$33="DS 20")</formula>
    </cfRule>
    <cfRule type="expression" dxfId="173" priority="1167">
      <formula>$I$65=6</formula>
    </cfRule>
    <cfRule type="expression" dxfId="172" priority="824">
      <formula>$R$65=6</formula>
    </cfRule>
    <cfRule type="expression" dxfId="171" priority="1173">
      <formula>$I$65=5</formula>
    </cfRule>
    <cfRule type="expression" dxfId="170" priority="1174">
      <formula>$I$65=3</formula>
    </cfRule>
    <cfRule type="expression" dxfId="169" priority="1175">
      <formula>$R$65=3</formula>
    </cfRule>
    <cfRule type="expression" dxfId="168" priority="25">
      <formula>AND($M$26="art. PR30",$M$33="DS 30")</formula>
    </cfRule>
  </conditionalFormatting>
  <conditionalFormatting sqref="BE54:BF55">
    <cfRule type="expression" dxfId="167" priority="23">
      <formula>AND($M$26="art. PR30",$M$33="DS 30")</formula>
    </cfRule>
    <cfRule type="expression" dxfId="166" priority="1171">
      <formula>$I$65=6</formula>
    </cfRule>
    <cfRule type="expression" dxfId="165" priority="1200">
      <formula>$R$65&gt;3</formula>
    </cfRule>
    <cfRule type="expression" dxfId="164" priority="24">
      <formula>AND($M$26="art. PR20",$M$33="DS 20")</formula>
    </cfRule>
    <cfRule type="expression" dxfId="163" priority="1199">
      <formula>$I$65=4</formula>
    </cfRule>
  </conditionalFormatting>
  <conditionalFormatting sqref="BE58:BF59">
    <cfRule type="expression" dxfId="162" priority="1194">
      <formula>$R$65=5</formula>
    </cfRule>
    <cfRule type="expression" dxfId="161" priority="21">
      <formula>AND($M$26="art. PR30",$M$33="DS 30")</formula>
    </cfRule>
    <cfRule type="expression" dxfId="160" priority="1201">
      <formula>$R$65=3</formula>
    </cfRule>
    <cfRule type="expression" dxfId="159" priority="1176">
      <formula>$I$65=6</formula>
    </cfRule>
    <cfRule type="expression" dxfId="158" priority="22">
      <formula>AND($M$26="art. PR20",$M$33="DS 20")</formula>
    </cfRule>
    <cfRule type="expression" dxfId="157" priority="1177">
      <formula>$I$65=5</formula>
    </cfRule>
    <cfRule type="expression" dxfId="156" priority="1166">
      <formula>$R$65=6</formula>
    </cfRule>
    <cfRule type="expression" dxfId="155" priority="1193">
      <formula>$I$65=3</formula>
    </cfRule>
  </conditionalFormatting>
  <conditionalFormatting sqref="BE61:BF62">
    <cfRule type="expression" dxfId="154" priority="19">
      <formula>AND($M$26="art. PR30",$M$33="DS 30")</formula>
    </cfRule>
    <cfRule type="expression" dxfId="153" priority="1172">
      <formula>$I$65=6</formula>
    </cfRule>
    <cfRule type="expression" dxfId="152" priority="1195">
      <formula>$I$65=5</formula>
    </cfRule>
    <cfRule type="expression" dxfId="151" priority="1197">
      <formula>$R$65&gt;3</formula>
    </cfRule>
    <cfRule type="expression" dxfId="150" priority="1196">
      <formula>$I$65=4</formula>
    </cfRule>
    <cfRule type="expression" dxfId="149" priority="20">
      <formula>AND($M$26="art. PR20",$M$33="DS 20")</formula>
    </cfRule>
  </conditionalFormatting>
  <conditionalFormatting sqref="BE65:BF65">
    <cfRule type="expression" dxfId="148" priority="539">
      <formula>$R$65&gt;0</formula>
    </cfRule>
    <cfRule type="expression" dxfId="147" priority="538">
      <formula>$I$65&gt;0</formula>
    </cfRule>
    <cfRule type="expression" dxfId="145" priority="18">
      <formula>AND($M$26="art. PR20",$M$33="DS 20")</formula>
    </cfRule>
    <cfRule type="expression" dxfId="144" priority="17">
      <formula>AND($M$26="art. PR30",$M$33="DS 30")</formula>
    </cfRule>
  </conditionalFormatting>
  <conditionalFormatting sqref="BI2:BI3">
    <cfRule type="expression" dxfId="143" priority="501">
      <formula>$V$53&gt;0</formula>
    </cfRule>
  </conditionalFormatting>
  <conditionalFormatting sqref="BI37:BI38">
    <cfRule type="expression" dxfId="142" priority="1187">
      <formula>$V$65&gt;0</formula>
    </cfRule>
  </conditionalFormatting>
  <conditionalFormatting sqref="BJ4:BJ5">
    <cfRule type="expression" dxfId="141" priority="1453">
      <formula>$BK$4&gt;0</formula>
    </cfRule>
    <cfRule type="expression" dxfId="140" priority="1463">
      <formula>$BK$4&gt;1</formula>
    </cfRule>
    <cfRule type="expression" dxfId="139" priority="496">
      <formula>$BJ$4&gt;0</formula>
    </cfRule>
  </conditionalFormatting>
  <conditionalFormatting sqref="BJ33">
    <cfRule type="expression" dxfId="138" priority="1461">
      <formula>$BK$33&gt;0</formula>
    </cfRule>
    <cfRule type="expression" dxfId="137" priority="498">
      <formula>$BJ$33&gt;0</formula>
    </cfRule>
  </conditionalFormatting>
  <conditionalFormatting sqref="BJ35">
    <cfRule type="expression" dxfId="136" priority="443">
      <formula>$BJ$35=""</formula>
    </cfRule>
  </conditionalFormatting>
  <conditionalFormatting sqref="BJ39:BJ40">
    <cfRule type="expression" dxfId="135" priority="1192">
      <formula>$BK$39&gt;1</formula>
    </cfRule>
    <cfRule type="expression" dxfId="134" priority="1184">
      <formula>$BK$39&gt;0</formula>
    </cfRule>
    <cfRule type="expression" dxfId="133" priority="476">
      <formula>$BJ$39&gt;0</formula>
    </cfRule>
  </conditionalFormatting>
  <conditionalFormatting sqref="BJ69">
    <cfRule type="expression" dxfId="132" priority="1164">
      <formula>$BK$69&gt;0</formula>
    </cfRule>
    <cfRule type="expression" dxfId="131" priority="474">
      <formula>$BJ$69&gt;0</formula>
    </cfRule>
  </conditionalFormatting>
  <conditionalFormatting sqref="BJ71">
    <cfRule type="expression" dxfId="130" priority="446">
      <formula>$BJ$71=""</formula>
    </cfRule>
  </conditionalFormatting>
  <conditionalFormatting sqref="BK2:BK3">
    <cfRule type="expression" dxfId="129" priority="500">
      <formula>$X$53&gt;0</formula>
    </cfRule>
  </conditionalFormatting>
  <conditionalFormatting sqref="BK4">
    <cfRule type="expression" dxfId="127" priority="713">
      <formula>$BK$33&gt;0</formula>
    </cfRule>
    <cfRule type="expression" dxfId="126" priority="1435">
      <formula>$BM$23&gt;0</formula>
    </cfRule>
  </conditionalFormatting>
  <conditionalFormatting sqref="BK4:BK5">
    <cfRule type="expression" dxfId="124" priority="1436">
      <formula>$BK$4&gt;0</formula>
    </cfRule>
  </conditionalFormatting>
  <conditionalFormatting sqref="BK33">
    <cfRule type="expression" dxfId="123" priority="711">
      <formula>$BK$4&gt;0</formula>
    </cfRule>
    <cfRule type="expression" dxfId="121" priority="1780">
      <formula>$BK$33&gt;0</formula>
    </cfRule>
    <cfRule type="expression" dxfId="119" priority="1462">
      <formula>$BM$23&gt;0</formula>
    </cfRule>
  </conditionalFormatting>
  <conditionalFormatting sqref="BK35">
    <cfRule type="expression" dxfId="118" priority="454">
      <formula>$BJ$35="SI"</formula>
    </cfRule>
    <cfRule type="expression" dxfId="117" priority="453">
      <formula>$BK$35&lt;&gt;""</formula>
    </cfRule>
  </conditionalFormatting>
  <conditionalFormatting sqref="BK37:BK38">
    <cfRule type="expression" dxfId="116" priority="1186">
      <formula>$X$65&gt;0</formula>
    </cfRule>
  </conditionalFormatting>
  <conditionalFormatting sqref="BK39">
    <cfRule type="expression" dxfId="115" priority="704">
      <formula>$BK$69&gt;0</formula>
    </cfRule>
    <cfRule type="expression" dxfId="114" priority="1168">
      <formula>$BM$58&gt;0</formula>
    </cfRule>
  </conditionalFormatting>
  <conditionalFormatting sqref="BK39:BK40">
    <cfRule type="expression" dxfId="111" priority="1169">
      <formula>$BK$39&gt;0</formula>
    </cfRule>
  </conditionalFormatting>
  <conditionalFormatting sqref="BK69">
    <cfRule type="expression" dxfId="110" priority="1163">
      <formula>$BK$69&gt;0</formula>
    </cfRule>
    <cfRule type="expression" dxfId="109" priority="1162">
      <formula>$BM$58&gt;0</formula>
    </cfRule>
    <cfRule type="expression" dxfId="108" priority="702">
      <formula>$BK$39&gt;0</formula>
    </cfRule>
  </conditionalFormatting>
  <conditionalFormatting sqref="BK71:BM71">
    <cfRule type="expression" dxfId="105" priority="450">
      <formula>$BJ$71="SI"</formula>
    </cfRule>
    <cfRule type="expression" dxfId="104" priority="449">
      <formula>$BK$71&lt;&gt;""</formula>
    </cfRule>
  </conditionalFormatting>
  <conditionalFormatting sqref="BM18">
    <cfRule type="expression" dxfId="103" priority="494">
      <formula>$BM$23&gt;0</formula>
    </cfRule>
  </conditionalFormatting>
  <conditionalFormatting sqref="BM18:BM22">
    <cfRule type="expression" dxfId="102" priority="493">
      <formula>$BM$18&gt;0</formula>
    </cfRule>
  </conditionalFormatting>
  <conditionalFormatting sqref="BM23">
    <cfRule type="expression" dxfId="101" priority="523">
      <formula>$BK$33&gt;0</formula>
    </cfRule>
    <cfRule type="expression" dxfId="99" priority="524">
      <formula>$BK$4&gt;0</formula>
    </cfRule>
  </conditionalFormatting>
  <conditionalFormatting sqref="BM23:BM32">
    <cfRule type="expression" dxfId="97" priority="525">
      <formula>$BM$23&gt;0</formula>
    </cfRule>
  </conditionalFormatting>
  <conditionalFormatting sqref="BM54">
    <cfRule type="expression" dxfId="96" priority="826">
      <formula>$BM$58&gt;0</formula>
    </cfRule>
  </conditionalFormatting>
  <conditionalFormatting sqref="BM54:BM57">
    <cfRule type="expression" dxfId="95" priority="478">
      <formula>$BM$54&gt;0</formula>
    </cfRule>
  </conditionalFormatting>
  <conditionalFormatting sqref="BM58">
    <cfRule type="expression" dxfId="92" priority="512">
      <formula>$BK$69&gt;0</formula>
    </cfRule>
    <cfRule type="expression" dxfId="91" priority="511">
      <formula>$BK$39&gt;0</formula>
    </cfRule>
  </conditionalFormatting>
  <conditionalFormatting sqref="BM58:BM68">
    <cfRule type="expression" dxfId="90" priority="513">
      <formula>$BM$58&gt;0</formula>
    </cfRule>
  </conditionalFormatting>
  <conditionalFormatting sqref="BO6">
    <cfRule type="expression" dxfId="89" priority="738">
      <formula>$BO$6&lt;&gt;$BO$13</formula>
    </cfRule>
    <cfRule type="expression" dxfId="88" priority="737">
      <formula>$BO$6=""</formula>
    </cfRule>
  </conditionalFormatting>
  <conditionalFormatting sqref="BO13">
    <cfRule type="expression" dxfId="87" priority="730">
      <formula>$BO$6&lt;&gt;$BO$13</formula>
    </cfRule>
    <cfRule type="expression" dxfId="86" priority="729">
      <formula>$BO$6=""</formula>
    </cfRule>
  </conditionalFormatting>
  <conditionalFormatting sqref="BO21">
    <cfRule type="expression" priority="796">
      <formula>$BO$21&lt;&gt;""</formula>
    </cfRule>
  </conditionalFormatting>
  <conditionalFormatting sqref="BO41">
    <cfRule type="expression" dxfId="85" priority="732">
      <formula>$BO$41&lt;&gt;$BO$48</formula>
    </cfRule>
    <cfRule type="expression" dxfId="84" priority="731">
      <formula>$BO$41=""</formula>
    </cfRule>
  </conditionalFormatting>
  <conditionalFormatting sqref="BO48">
    <cfRule type="expression" dxfId="83" priority="726">
      <formula>$BO$41&lt;&gt;$BO$48</formula>
    </cfRule>
    <cfRule type="expression" dxfId="82" priority="725">
      <formula>$BO$41=""</formula>
    </cfRule>
  </conditionalFormatting>
  <conditionalFormatting sqref="BO56">
    <cfRule type="expression" priority="790">
      <formula>$BO$56&lt;&gt;""</formula>
    </cfRule>
  </conditionalFormatting>
  <conditionalFormatting sqref="BP35">
    <cfRule type="expression" dxfId="81" priority="436">
      <formula>$BN$35&lt;&gt;""</formula>
    </cfRule>
    <cfRule type="expression" dxfId="80" priority="435">
      <formula>$BP$35&lt;&gt;""</formula>
    </cfRule>
  </conditionalFormatting>
  <conditionalFormatting sqref="BP71">
    <cfRule type="expression" dxfId="79" priority="460">
      <formula>$BN$71&lt;&gt;""</formula>
    </cfRule>
    <cfRule type="expression" dxfId="78" priority="459">
      <formula>$BP$71&lt;&gt;""</formula>
    </cfRule>
  </conditionalFormatting>
  <conditionalFormatting sqref="BR29">
    <cfRule type="expression" dxfId="77" priority="1151">
      <formula>$I$57&gt;0</formula>
    </cfRule>
    <cfRule type="expression" dxfId="76" priority="1152">
      <formula>$R$57&gt;0</formula>
    </cfRule>
  </conditionalFormatting>
  <conditionalFormatting sqref="BR8:BS9">
    <cfRule type="expression" dxfId="74" priority="1155">
      <formula>$I$57&gt;0</formula>
    </cfRule>
    <cfRule type="expression" dxfId="73" priority="1156">
      <formula>$R$57&gt;0</formula>
    </cfRule>
    <cfRule type="expression" dxfId="72" priority="44">
      <formula>AND($M$26="art. PR20",$M$33="DS 20")</formula>
    </cfRule>
    <cfRule type="expression" dxfId="70" priority="43">
      <formula>AND($M$26="art. PR30",$M$33="DS 30")</formula>
    </cfRule>
  </conditionalFormatting>
  <conditionalFormatting sqref="BR12:BS13">
    <cfRule type="expression" dxfId="69" priority="1428">
      <formula>$I$57=6</formula>
    </cfRule>
    <cfRule type="expression" dxfId="68" priority="1392">
      <formula>$I$57=5</formula>
    </cfRule>
    <cfRule type="expression" dxfId="67" priority="42">
      <formula>AND($M$26="art. PR20",$M$33="DS 20")</formula>
    </cfRule>
    <cfRule type="expression" dxfId="66" priority="1429">
      <formula>$I$57=4</formula>
    </cfRule>
    <cfRule type="expression" dxfId="65" priority="1430">
      <formula>$R$57&gt;3</formula>
    </cfRule>
    <cfRule type="expression" dxfId="64" priority="41">
      <formula>AND($M$26="art. PR30",$M$33="DS 30")</formula>
    </cfRule>
  </conditionalFormatting>
  <conditionalFormatting sqref="BR15:BS16">
    <cfRule type="expression" dxfId="63" priority="39">
      <formula>AND($M$26="art. PR30",$M$33="DS 30")</formula>
    </cfRule>
    <cfRule type="expression" dxfId="62" priority="40">
      <formula>AND($M$26="art. PR20",$M$33="DS 20")</formula>
    </cfRule>
    <cfRule type="expression" dxfId="61" priority="1399">
      <formula>$R$57=3</formula>
    </cfRule>
    <cfRule type="expression" dxfId="60" priority="533">
      <formula>$I$57=6</formula>
    </cfRule>
    <cfRule type="expression" dxfId="59" priority="1395">
      <formula>$I$57=3</formula>
    </cfRule>
    <cfRule type="expression" dxfId="58" priority="1397">
      <formula>$I$57=5</formula>
    </cfRule>
    <cfRule type="expression" dxfId="57" priority="1398">
      <formula>$R$57=5</formula>
    </cfRule>
  </conditionalFormatting>
  <conditionalFormatting sqref="BR19:BS20">
    <cfRule type="expression" dxfId="56" priority="38">
      <formula>AND($M$26="art. PR20",$M$33="DS 20")</formula>
    </cfRule>
    <cfRule type="expression" dxfId="55" priority="37">
      <formula>AND($M$26="art. PR30",$M$33="DS 30")</formula>
    </cfRule>
    <cfRule type="expression" dxfId="54" priority="1425">
      <formula>$I$57=4</formula>
    </cfRule>
    <cfRule type="expression" dxfId="53" priority="1393">
      <formula>$I$57=6</formula>
    </cfRule>
    <cfRule type="expression" dxfId="52" priority="1426">
      <formula>$R$57&gt;3</formula>
    </cfRule>
  </conditionalFormatting>
  <conditionalFormatting sqref="BR23:BS24">
    <cfRule type="expression" dxfId="51" priority="1420">
      <formula>$R$57=5</formula>
    </cfRule>
    <cfRule type="expression" dxfId="50" priority="1419">
      <formula>$I$57=3</formula>
    </cfRule>
    <cfRule type="expression" dxfId="49" priority="1427">
      <formula>$R$57=3</formula>
    </cfRule>
    <cfRule type="expression" dxfId="48" priority="35">
      <formula>AND($M$26="art. PR30",$M$33="DS 30")</formula>
    </cfRule>
    <cfRule type="expression" dxfId="47" priority="36">
      <formula>AND($M$26="art. PR20",$M$33="DS 20")</formula>
    </cfRule>
    <cfRule type="expression" dxfId="46" priority="1400">
      <formula>$I$57=6</formula>
    </cfRule>
    <cfRule type="expression" dxfId="45" priority="1401">
      <formula>$I$57=5</formula>
    </cfRule>
  </conditionalFormatting>
  <conditionalFormatting sqref="BR26:BS27">
    <cfRule type="expression" dxfId="44" priority="1421">
      <formula>$I$57=5</formula>
    </cfRule>
    <cfRule type="expression" dxfId="43" priority="1422">
      <formula>$I$57=4</formula>
    </cfRule>
    <cfRule type="expression" dxfId="42" priority="33">
      <formula>AND($M$26="art. PR30",$M$33="DS 30")</formula>
    </cfRule>
    <cfRule type="expression" dxfId="41" priority="34">
      <formula>AND($M$26="art. PR20",$M$33="DS 20")</formula>
    </cfRule>
    <cfRule type="expression" dxfId="40" priority="1394">
      <formula>$I$57=6</formula>
    </cfRule>
    <cfRule type="expression" dxfId="39" priority="1423">
      <formula>$R$57&gt;3</formula>
    </cfRule>
  </conditionalFormatting>
  <conditionalFormatting sqref="BR29:BS29">
    <cfRule type="expression" dxfId="38" priority="31">
      <formula>AND($M$26="art. PR30",$M$33="DS 30")</formula>
    </cfRule>
    <cfRule type="expression" dxfId="37" priority="32">
      <formula>AND($M$26="art. PR20",$M$33="DS 20")</formula>
    </cfRule>
  </conditionalFormatting>
  <conditionalFormatting sqref="BV2">
    <cfRule type="expression" dxfId="36" priority="1415">
      <formula>$V$57&gt;0</formula>
    </cfRule>
  </conditionalFormatting>
  <conditionalFormatting sqref="BV3">
    <cfRule type="expression" dxfId="35" priority="1411">
      <formula>V57&gt;0</formula>
    </cfRule>
  </conditionalFormatting>
  <conditionalFormatting sqref="BW4:BW5">
    <cfRule type="expression" dxfId="34" priority="1408">
      <formula>$BX$4&gt;0</formula>
    </cfRule>
    <cfRule type="expression" dxfId="33" priority="488">
      <formula>$BW$4&gt;0</formula>
    </cfRule>
    <cfRule type="expression" dxfId="32" priority="1418">
      <formula>$BX$4&gt;1</formula>
    </cfRule>
  </conditionalFormatting>
  <conditionalFormatting sqref="BW33">
    <cfRule type="expression" dxfId="31" priority="1416">
      <formula>$BX$33&gt;0</formula>
    </cfRule>
    <cfRule type="expression" dxfId="30" priority="484">
      <formula>$BW$33&gt;0</formula>
    </cfRule>
  </conditionalFormatting>
  <conditionalFormatting sqref="BW35">
    <cfRule type="expression" dxfId="29" priority="434">
      <formula>$BW$35=""</formula>
    </cfRule>
  </conditionalFormatting>
  <conditionalFormatting sqref="BX2">
    <cfRule type="expression" dxfId="28" priority="1414">
      <formula>$X$57&gt;0</formula>
    </cfRule>
  </conditionalFormatting>
  <conditionalFormatting sqref="BX3">
    <cfRule type="expression" dxfId="27" priority="1410">
      <formula>X57&gt;0</formula>
    </cfRule>
  </conditionalFormatting>
  <conditionalFormatting sqref="BX4">
    <cfRule type="expression" dxfId="24" priority="1409">
      <formula>$BZ$23&gt;0</formula>
    </cfRule>
    <cfRule type="expression" dxfId="23" priority="710">
      <formula>$BX$33&gt;0</formula>
    </cfRule>
  </conditionalFormatting>
  <conditionalFormatting sqref="BX4:BX5">
    <cfRule type="expression" dxfId="22" priority="1785">
      <formula>$BX$4&gt;0</formula>
    </cfRule>
  </conditionalFormatting>
  <conditionalFormatting sqref="BX33">
    <cfRule type="expression" dxfId="21" priority="1417">
      <formula>$BZ$23&gt;0</formula>
    </cfRule>
    <cfRule type="expression" dxfId="20" priority="1783">
      <formula>$BX$33&gt;0</formula>
    </cfRule>
    <cfRule type="expression" dxfId="17" priority="708">
      <formula>$BX$4&gt;0</formula>
    </cfRule>
  </conditionalFormatting>
  <conditionalFormatting sqref="BX35">
    <cfRule type="expression" dxfId="16" priority="439">
      <formula>$BX$35&lt;&gt;""</formula>
    </cfRule>
    <cfRule type="expression" dxfId="15" priority="440">
      <formula>$BW$35="SI"</formula>
    </cfRule>
  </conditionalFormatting>
  <conditionalFormatting sqref="BZ18">
    <cfRule type="expression" dxfId="14" priority="487">
      <formula>$BZ$23&gt;0</formula>
    </cfRule>
  </conditionalFormatting>
  <conditionalFormatting sqref="BZ18:BZ22">
    <cfRule type="expression" dxfId="13" priority="486">
      <formula>$BZ$18&gt;0</formula>
    </cfRule>
  </conditionalFormatting>
  <conditionalFormatting sqref="BZ23">
    <cfRule type="expression" dxfId="11" priority="519">
      <formula>$BX$33&gt;0</formula>
    </cfRule>
    <cfRule type="expression" dxfId="10" priority="520">
      <formula>$BX$4&gt;0</formula>
    </cfRule>
  </conditionalFormatting>
  <conditionalFormatting sqref="BZ23:BZ32">
    <cfRule type="expression" dxfId="8" priority="521">
      <formula>$BZ$23&gt;0</formula>
    </cfRule>
  </conditionalFormatting>
  <conditionalFormatting sqref="CB6">
    <cfRule type="expression" dxfId="7" priority="736">
      <formula>$CB$6&lt;&gt;$CB$13</formula>
    </cfRule>
    <cfRule type="expression" dxfId="6" priority="735">
      <formula>$CB$6=""</formula>
    </cfRule>
  </conditionalFormatting>
  <conditionalFormatting sqref="CB13">
    <cfRule type="expression" dxfId="5" priority="723">
      <formula>$CB$6=""</formula>
    </cfRule>
    <cfRule type="expression" dxfId="4" priority="724">
      <formula>$CB$6&lt;&gt;$CB$13</formula>
    </cfRule>
  </conditionalFormatting>
  <conditionalFormatting sqref="CB21">
    <cfRule type="expression" priority="794">
      <formula>$CB$21&lt;&gt;""</formula>
    </cfRule>
  </conditionalFormatting>
  <conditionalFormatting sqref="CC35">
    <cfRule type="expression" dxfId="3" priority="462">
      <formula>$CA$35&lt;&gt;""</formula>
    </cfRule>
    <cfRule type="expression" dxfId="2" priority="461">
      <formula>$CC$35&lt;&gt;""</formula>
    </cfRule>
  </conditionalFormatting>
  <dataValidations count="5">
    <dataValidation type="list" allowBlank="1" showInputMessage="1" showErrorMessage="1" sqref="M26" xr:uid="{C030B4E3-9E37-47B0-B5FF-417449CB0FCB}">
      <formula1>PROFILI</formula1>
    </dataValidation>
    <dataValidation type="list" allowBlank="1" showInputMessage="1" showErrorMessage="1" sqref="M29:V29" xr:uid="{9157946A-51AE-46AD-9693-6FCF9E81B068}">
      <formula1>INDIRECT(SUBSTITUTE($M$26," ","_"))</formula1>
    </dataValidation>
    <dataValidation type="list" allowBlank="1" showInputMessage="1" showErrorMessage="1" sqref="M33:V33" xr:uid="{6C546257-5347-4F9A-BB5B-DBEEDA503D17}">
      <formula1>INDIRECT(SUBSTITUTE($M$30," ","_"))</formula1>
    </dataValidation>
    <dataValidation type="list" allowBlank="1" showInputMessage="1" showErrorMessage="1" sqref="M35:V36" xr:uid="{B7E1DFE9-7E57-4F0B-A3EA-D617DD6BEFBA}">
      <formula1>INDIRECT(SUBSTITUTE($M$33," ","_"))</formula1>
    </dataValidation>
    <dataValidation type="list" allowBlank="1" showInputMessage="1" showErrorMessage="1" sqref="M37:O37" xr:uid="{76A6BA2A-E98B-41AE-862B-4687987548F2}">
      <formula1>INDIRECT(SUBSTITUTE($A$37," ","_"))</formula1>
    </dataValidation>
  </dataValidations>
  <printOptions horizontalCentered="1"/>
  <pageMargins left="0.19685039370078741" right="0.23622047244094488" top="0.39370078740157483" bottom="0" header="0.31496062992125984" footer="0.31496062992125984"/>
  <pageSetup paperSize="9" scale="98" fitToWidth="0" orientation="landscape" r:id="rId2"/>
  <headerFooter alignWithMargins="0"/>
  <drawing r:id="rId3"/>
  <legacy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77" id="{4A84CC7D-EA82-42F1-B355-F62BF63A1B2A}">
            <xm:f>DATI!$L$27=3</xm:f>
            <x14:dxf>
              <font>
                <strike val="0"/>
                <color rgb="FFFF0000"/>
              </font>
              <fill>
                <gradientFill type="path" left="0.5" right="0.5" top="0.5" bottom="0.5">
                  <stop position="0">
                    <color rgb="FF99FF33"/>
                  </stop>
                  <stop position="1">
                    <color rgb="FFFFFFFF"/>
                  </stop>
                </gradientFill>
              </fill>
            </x14:dxf>
          </x14:cfRule>
          <xm:sqref>A2</xm:sqref>
        </x14:conditionalFormatting>
        <x14:conditionalFormatting xmlns:xm="http://schemas.microsoft.com/office/excel/2006/main">
          <x14:cfRule type="expression" priority="381" id="{00000000-000E-0000-0000-000001000000}">
            <xm:f>DATI!$X$6=1</xm:f>
            <x14:dxf>
              <fill>
                <gradientFill degree="90">
                  <stop position="0">
                    <color rgb="FFFFFF99"/>
                  </stop>
                  <stop position="1">
                    <color rgb="FFFF0000"/>
                  </stop>
                </gradientFill>
              </fill>
            </x14:dxf>
          </x14:cfRule>
          <xm:sqref>D49:H52</xm:sqref>
        </x14:conditionalFormatting>
        <x14:conditionalFormatting xmlns:xm="http://schemas.microsoft.com/office/excel/2006/main">
          <x14:cfRule type="expression" priority="308" id="{171D3EF9-4E55-4FE0-9FC4-2D4B4AB042B6}">
            <xm:f>DATI!$X$7=1</xm:f>
            <x14:dxf>
              <fill>
                <gradientFill degree="90">
                  <stop position="0">
                    <color rgb="FFFFFF99"/>
                  </stop>
                  <stop position="1">
                    <color rgb="FFFF0000"/>
                  </stop>
                </gradientFill>
              </fill>
            </x14:dxf>
          </x14:cfRule>
          <xm:sqref>D53:H56</xm:sqref>
        </x14:conditionalFormatting>
        <x14:conditionalFormatting xmlns:xm="http://schemas.microsoft.com/office/excel/2006/main">
          <x14:cfRule type="expression" priority="194" id="{669830CE-DE6A-4A62-A118-FA6ED4C0F284}">
            <xm:f>DATI!$X$8=1</xm:f>
            <x14:dxf>
              <fill>
                <gradientFill degree="90">
                  <stop position="0">
                    <color rgb="FFFFFF99"/>
                  </stop>
                  <stop position="1">
                    <color rgb="FFFF0000"/>
                  </stop>
                </gradientFill>
              </fill>
            </x14:dxf>
          </x14:cfRule>
          <xm:sqref>D57:H60</xm:sqref>
        </x14:conditionalFormatting>
        <x14:conditionalFormatting xmlns:xm="http://schemas.microsoft.com/office/excel/2006/main">
          <x14:cfRule type="expression" priority="193" id="{025C0BDF-5951-466B-A62F-E87706873695}">
            <xm:f>DATI!$X$9=1</xm:f>
            <x14:dxf>
              <fill>
                <gradientFill degree="90">
                  <stop position="0">
                    <color rgb="FFFFFF99"/>
                  </stop>
                  <stop position="1">
                    <color rgb="FFFF0000"/>
                  </stop>
                </gradientFill>
              </fill>
            </x14:dxf>
          </x14:cfRule>
          <xm:sqref>D61:H64</xm:sqref>
        </x14:conditionalFormatting>
        <x14:conditionalFormatting xmlns:xm="http://schemas.microsoft.com/office/excel/2006/main">
          <x14:cfRule type="expression" priority="192" id="{B72F681D-C593-4F9D-B6BB-2BF9C036CF0E}">
            <xm:f>DATI!$X$10=1</xm:f>
            <x14:dxf>
              <fill>
                <gradientFill degree="90">
                  <stop position="0">
                    <color rgb="FFFFFF99"/>
                  </stop>
                  <stop position="1">
                    <color rgb="FFFF0000"/>
                  </stop>
                </gradientFill>
              </fill>
            </x14:dxf>
          </x14:cfRule>
          <xm:sqref>D65:H68</xm:sqref>
        </x14:conditionalFormatting>
        <x14:conditionalFormatting xmlns:xm="http://schemas.microsoft.com/office/excel/2006/main">
          <x14:cfRule type="expression" priority="397" id="{00000000-000E-0000-0000-000001000000}">
            <xm:f>CARTELLINO!$AJ$12="NO"</xm:f>
            <x14:dxf>
              <font>
                <strike/>
                <u val="double"/>
                <color auto="1"/>
              </font>
              <fill>
                <gradientFill degree="90">
                  <stop position="0">
                    <color rgb="FFFFFF00"/>
                  </stop>
                  <stop position="0.5">
                    <color rgb="FFFF0000"/>
                  </stop>
                  <stop position="1">
                    <color rgb="FFFFFF00"/>
                  </stop>
                </gradientFill>
              </fill>
            </x14:dxf>
          </x14:cfRule>
          <xm:sqref>T49:U52</xm:sqref>
        </x14:conditionalFormatting>
        <x14:conditionalFormatting xmlns:xm="http://schemas.microsoft.com/office/excel/2006/main">
          <x14:cfRule type="expression" priority="96" id="{ECA57495-5711-46DE-B4F3-4239F632BF4C}">
            <xm:f>AND($T$53&lt;&gt;"",CARTELLINO!$AJ$17="NO")</xm:f>
            <x14:dxf>
              <font>
                <strike/>
                <u val="double"/>
                <color auto="1"/>
              </font>
              <fill>
                <gradientFill degree="90">
                  <stop position="0">
                    <color rgb="FFFFFF00"/>
                  </stop>
                  <stop position="0.5">
                    <color rgb="FFFF0000"/>
                  </stop>
                  <stop position="1">
                    <color rgb="FFFFFF00"/>
                  </stop>
                </gradientFill>
              </fill>
            </x14:dxf>
          </x14:cfRule>
          <xm:sqref>T53:U56</xm:sqref>
        </x14:conditionalFormatting>
        <x14:conditionalFormatting xmlns:xm="http://schemas.microsoft.com/office/excel/2006/main">
          <x14:cfRule type="expression" priority="93" id="{D045F305-C01F-4049-A8DE-77AF30A5AF0B}">
            <xm:f>AND($T$57&lt;&gt;"",CARTELLINO!$AJ$22="NO")</xm:f>
            <x14:dxf>
              <font>
                <strike/>
                <u val="double"/>
                <color auto="1"/>
              </font>
              <fill>
                <gradientFill degree="90">
                  <stop position="0">
                    <color rgb="FFFFFF00"/>
                  </stop>
                  <stop position="0.5">
                    <color rgb="FFFF0000"/>
                  </stop>
                  <stop position="1">
                    <color rgb="FFFFFF00"/>
                  </stop>
                </gradientFill>
              </fill>
            </x14:dxf>
          </x14:cfRule>
          <xm:sqref>T57:U60</xm:sqref>
        </x14:conditionalFormatting>
        <x14:conditionalFormatting xmlns:xm="http://schemas.microsoft.com/office/excel/2006/main">
          <x14:cfRule type="expression" priority="90" id="{CD82506E-0010-48F5-81A7-6C86D5BDE2A3}">
            <xm:f>AND($T$61&lt;&gt;"",CARTELLINO!$AJ$27="NO")</xm:f>
            <x14:dxf>
              <font>
                <strike/>
                <u val="double"/>
                <color auto="1"/>
              </font>
              <fill>
                <gradientFill degree="90">
                  <stop position="0">
                    <color rgb="FFFFFF00"/>
                  </stop>
                  <stop position="0.5">
                    <color rgb="FFFF0000"/>
                  </stop>
                  <stop position="1">
                    <color rgb="FFFFFF00"/>
                  </stop>
                </gradientFill>
              </fill>
            </x14:dxf>
          </x14:cfRule>
          <xm:sqref>T61:U64</xm:sqref>
        </x14:conditionalFormatting>
        <x14:conditionalFormatting xmlns:xm="http://schemas.microsoft.com/office/excel/2006/main">
          <x14:cfRule type="expression" priority="87" id="{A1E68D80-23DF-417F-8F1F-546AC52F2A2A}">
            <xm:f>AND($T$65&lt;&gt;"",CARTELLINO!$AJ$32="NO")</xm:f>
            <x14:dxf>
              <font>
                <strike/>
                <u val="double"/>
                <color auto="1"/>
              </font>
              <fill>
                <gradientFill degree="90">
                  <stop position="0">
                    <color rgb="FFFFFF00"/>
                  </stop>
                  <stop position="0.5">
                    <color rgb="FFFF0000"/>
                  </stop>
                  <stop position="1">
                    <color rgb="FFFFFF00"/>
                  </stop>
                </gradientFill>
              </fill>
            </x14:dxf>
          </x14:cfRule>
          <xm:sqref>T65:U68</xm:sqref>
        </x14:conditionalFormatting>
        <x14:conditionalFormatting xmlns:xm="http://schemas.microsoft.com/office/excel/2006/main">
          <x14:cfRule type="expression" priority="224" id="{50C710C2-DB7E-4CF8-A9CE-04C40F307EB5}">
            <xm:f>CARTELLINO!$F$58="NON PUOI"</xm:f>
            <x14:dxf>
              <font>
                <strike/>
              </font>
              <fill>
                <gradientFill degree="90">
                  <stop position="0">
                    <color rgb="FFFFC000"/>
                  </stop>
                  <stop position="1">
                    <color rgb="FFFF0000"/>
                  </stop>
                </gradientFill>
              </fill>
            </x14:dxf>
          </x14:cfRule>
          <xm:sqref>AA50:AG52</xm:sqref>
        </x14:conditionalFormatting>
        <x14:conditionalFormatting xmlns:xm="http://schemas.microsoft.com/office/excel/2006/main">
          <x14:cfRule type="expression" priority="223" id="{0AB151B2-A251-4050-B2D7-91CD1C932CB5}">
            <xm:f>CARTELLINO!$F$59="NON PUOI"</xm:f>
            <x14:dxf>
              <font>
                <strike/>
              </font>
              <fill>
                <gradientFill degree="90">
                  <stop position="0">
                    <color rgb="FFFFC000"/>
                  </stop>
                  <stop position="1">
                    <color rgb="FFFF0000"/>
                  </stop>
                </gradientFill>
              </fill>
            </x14:dxf>
          </x14:cfRule>
          <xm:sqref>AA54:AG56</xm:sqref>
        </x14:conditionalFormatting>
        <x14:conditionalFormatting xmlns:xm="http://schemas.microsoft.com/office/excel/2006/main">
          <x14:cfRule type="expression" priority="222" id="{83CCE856-F84D-46E0-992D-ED1128B91CF5}">
            <xm:f>CARTELLINO!$F$60="NON PUOI"</xm:f>
            <x14:dxf>
              <font>
                <strike/>
              </font>
              <fill>
                <gradientFill degree="90">
                  <stop position="0">
                    <color rgb="FFFFC000"/>
                  </stop>
                  <stop position="1">
                    <color rgb="FFFF0000"/>
                  </stop>
                </gradientFill>
              </fill>
            </x14:dxf>
          </x14:cfRule>
          <xm:sqref>AA58:AG60</xm:sqref>
        </x14:conditionalFormatting>
        <x14:conditionalFormatting xmlns:xm="http://schemas.microsoft.com/office/excel/2006/main">
          <x14:cfRule type="expression" priority="221" id="{8C88BFCD-69BC-4FA6-80C5-872C033897AF}">
            <xm:f>CARTELLINO!$F$61="NON PUOI"</xm:f>
            <x14:dxf>
              <font>
                <strike/>
              </font>
              <fill>
                <gradientFill degree="90">
                  <stop position="0">
                    <color rgb="FFFFC000"/>
                  </stop>
                  <stop position="1">
                    <color rgb="FFFF0000"/>
                  </stop>
                </gradientFill>
              </fill>
            </x14:dxf>
          </x14:cfRule>
          <xm:sqref>AA62:AG64</xm:sqref>
        </x14:conditionalFormatting>
        <x14:conditionalFormatting xmlns:xm="http://schemas.microsoft.com/office/excel/2006/main">
          <x14:cfRule type="expression" priority="220" id="{2A94CD7C-C728-4E91-9A66-98F25AE59012}">
            <xm:f>CARTELLINO!$F$62="NON PUOI"</xm:f>
            <x14:dxf>
              <font>
                <strike/>
              </font>
              <fill>
                <gradientFill degree="90">
                  <stop position="0">
                    <color rgb="FFFFC000"/>
                  </stop>
                  <stop position="1">
                    <color rgb="FFFF0000"/>
                  </stop>
                </gradientFill>
              </fill>
            </x14:dxf>
          </x14:cfRule>
          <xm:sqref>AA65:AG68</xm:sqref>
        </x14:conditionalFormatting>
        <x14:conditionalFormatting xmlns:xm="http://schemas.microsoft.com/office/excel/2006/main">
          <x14:cfRule type="expression" priority="543" id="{F56128D5-8657-4CBF-BC00-89CFA8B6CF94}">
            <xm:f>'dati immagini'!$B$20="NO"</xm:f>
            <x14:dxf>
              <fill>
                <patternFill patternType="lightUp">
                  <bgColor rgb="FFFF0000"/>
                </patternFill>
              </fill>
            </x14:dxf>
          </x14:cfRule>
          <xm:sqref>AR29</xm:sqref>
        </x14:conditionalFormatting>
        <x14:conditionalFormatting xmlns:xm="http://schemas.microsoft.com/office/excel/2006/main">
          <x14:cfRule type="expression" priority="801" id="{00000000-000E-0000-0000-000055000000}">
            <xm:f>'dati immagini'!$B$19="NO"</xm:f>
            <x14:dxf>
              <fill>
                <patternFill patternType="lightUp">
                  <bgColor rgb="FFFF0000"/>
                </patternFill>
              </fill>
            </x14:dxf>
          </x14:cfRule>
          <xm:sqref>AR8:AS9</xm:sqref>
        </x14:conditionalFormatting>
        <x14:conditionalFormatting xmlns:xm="http://schemas.microsoft.com/office/excel/2006/main">
          <x14:cfRule type="expression" priority="819" id="{00000000-000E-0000-0000-000089000000}">
            <xm:f>'dati immagini'!$H$19="NO"</xm:f>
            <x14:dxf>
              <fill>
                <patternFill patternType="lightUp">
                  <bgColor rgb="FFFF0000"/>
                </patternFill>
              </fill>
            </x14:dxf>
          </x14:cfRule>
          <xm:sqref>AR43:AS44</xm:sqref>
        </x14:conditionalFormatting>
        <x14:conditionalFormatting xmlns:xm="http://schemas.microsoft.com/office/excel/2006/main">
          <x14:cfRule type="expression" priority="818" id="{00000000-000E-0000-0000-000088000000}">
            <xm:f>'dati immagini'!$H$20="NO"</xm:f>
            <x14:dxf>
              <fill>
                <patternFill patternType="lightUp">
                  <bgColor rgb="FFFF0000"/>
                </patternFill>
              </fill>
            </x14:dxf>
          </x14:cfRule>
          <xm:sqref>AR65:AS65</xm:sqref>
        </x14:conditionalFormatting>
        <x14:conditionalFormatting xmlns:xm="http://schemas.microsoft.com/office/excel/2006/main">
          <x14:cfRule type="expression" priority="505" id="{D14F434D-0470-47B2-8687-522C0B44D9DE}">
            <xm:f>'dati immagini'!$B$24="NO"</xm:f>
            <x14:dxf>
              <font>
                <strike/>
                <u val="double"/>
              </font>
              <fill>
                <gradientFill type="path" left="0.5" right="0.5" top="0.5" bottom="0.5">
                  <stop position="0">
                    <color rgb="FFFFFF00"/>
                  </stop>
                  <stop position="1">
                    <color rgb="FFFF0000"/>
                  </stop>
                </gradientFill>
              </fill>
            </x14:dxf>
          </x14:cfRule>
          <x14:cfRule type="expression" priority="1778" id="{71C74629-DDEA-4B60-B960-D13FD48EC62C}">
            <xm:f>'dati immagini'!$E$8=1</xm:f>
            <x14:dxf>
              <fill>
                <patternFill>
                  <bgColor rgb="FFFFCC0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AX4</xm:sqref>
        </x14:conditionalFormatting>
        <x14:conditionalFormatting xmlns:xm="http://schemas.microsoft.com/office/excel/2006/main">
          <x14:cfRule type="expression" priority="1776" id="{CB56CB51-6E86-4856-A480-FC30393C0E5F}">
            <xm:f>'dati immagini'!$E$8=1</xm:f>
            <x14:dxf>
              <fill>
                <patternFill>
                  <bgColor rgb="FFFFCC0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expression" priority="507" id="{AEA97E2D-8D10-4740-A8F0-ED9594A53F8A}">
            <xm:f>'dati immagini'!$B$26="NO"</xm:f>
            <x14:dxf>
              <font>
                <strike/>
                <u val="double"/>
              </font>
              <fill>
                <gradientFill type="path" left="0.5" right="0.5" top="0.5" bottom="0.5">
                  <stop position="0">
                    <color rgb="FFFFFF00"/>
                  </stop>
                  <stop position="1">
                    <color rgb="FFFF0000"/>
                  </stop>
                </gradientFill>
              </fill>
            </x14:dxf>
          </x14:cfRule>
          <xm:sqref>AX33</xm:sqref>
        </x14:conditionalFormatting>
        <x14:conditionalFormatting xmlns:xm="http://schemas.microsoft.com/office/excel/2006/main">
          <x14:cfRule type="expression" priority="482" id="{CBA4EF11-1824-4DD3-8AB7-397DCC2574F7}">
            <xm:f>'dati immagini'!$H$24="NO"</xm:f>
            <x14:dxf>
              <font>
                <strike/>
                <u val="double"/>
              </font>
              <fill>
                <gradientFill type="path" left="0.5" right="0.5" top="0.5" bottom="0.5">
                  <stop position="0">
                    <color rgb="FFFFFF00"/>
                  </stop>
                  <stop position="1">
                    <color rgb="FFFF0000"/>
                  </stop>
                </gradientFill>
              </fill>
            </x14:dxf>
          </x14:cfRule>
          <x14:cfRule type="expression" priority="1335" id="{D10B2646-82B1-4079-8FEC-F97C1E616095}">
            <xm:f>'dati immagini'!$E$11=1</xm:f>
            <x14:dxf>
              <fill>
                <patternFill>
                  <bgColor rgb="FFFFCC0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AX39</xm:sqref>
        </x14:conditionalFormatting>
        <x14:conditionalFormatting xmlns:xm="http://schemas.microsoft.com/office/excel/2006/main">
          <x14:cfRule type="expression" priority="480" id="{D0D28C69-6F19-4DA5-ABBF-3F28BC807BA1}">
            <xm:f>'dati immagini'!$H$26="NO"</xm:f>
            <x14:dxf>
              <font>
                <strike/>
                <u val="double"/>
              </font>
              <fill>
                <gradientFill type="path" left="0.5" right="0.5" top="0.5" bottom="0.5">
                  <stop position="0">
                    <color rgb="FFFFFF00"/>
                  </stop>
                  <stop position="1">
                    <color rgb="FFFF0000"/>
                  </stop>
                </gradientFill>
              </fill>
            </x14:dxf>
          </x14:cfRule>
          <x14:cfRule type="expression" priority="1218" id="{6F46FC0D-838E-47C3-A2C1-2A0DBBECFFD1}">
            <xm:f>'dati immagini'!$D$11</xm:f>
            <x14:dxf>
              <fill>
                <patternFill>
                  <bgColor rgb="FFFFCC0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AX69</xm:sqref>
        </x14:conditionalFormatting>
        <x14:conditionalFormatting xmlns:xm="http://schemas.microsoft.com/office/excel/2006/main">
          <x14:cfRule type="expression" priority="530" id="{B595CAB4-FC84-4A09-8FA3-4C70DACFC5B8}">
            <xm:f>'dati immagini'!$E$8=1</xm:f>
            <x14:dxf>
              <fill>
                <patternFill>
                  <bgColor rgb="FFFFCC0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expression" priority="508" id="{0973330C-A32C-41FC-899C-8CB48944CD97}">
            <xm:f>'dati immagini'!$B$25="NO"</xm:f>
            <x14:dxf>
              <font>
                <strike/>
                <u val="double"/>
              </font>
              <fill>
                <gradientFill type="path" left="0.5" right="0.5" top="0.5" bottom="0.5">
                  <stop position="0">
                    <color rgb="FFFFFF00"/>
                  </stop>
                  <stop position="1">
                    <color rgb="FFFF0000"/>
                  </stop>
                </gradientFill>
              </fill>
            </x14:dxf>
          </x14:cfRule>
          <xm:sqref>AZ23</xm:sqref>
        </x14:conditionalFormatting>
        <x14:conditionalFormatting xmlns:xm="http://schemas.microsoft.com/office/excel/2006/main">
          <x14:cfRule type="expression" priority="491" id="{312CA403-947B-4C80-B2A3-E4B1FEE452BD}">
            <xm:f>'dati immagini'!$H$25="NO"</xm:f>
            <x14:dxf>
              <font>
                <strike/>
                <u val="double"/>
              </font>
              <fill>
                <gradientFill type="path" left="0.5" right="0.5" top="0.5" bottom="0.5">
                  <stop position="0">
                    <color rgb="FFFFFF00"/>
                  </stop>
                  <stop position="1">
                    <color rgb="FFFF0000"/>
                  </stop>
                </gradientFill>
              </fill>
            </x14:dxf>
          </x14:cfRule>
          <x14:cfRule type="expression" priority="518" id="{01CD1C71-EBEC-4D74-B882-35A894CA005D}">
            <xm:f>'dati immagini'!$E$11=1</xm:f>
            <x14:dxf>
              <fill>
                <patternFill>
                  <bgColor rgb="FFFFCC0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AZ58</xm:sqref>
        </x14:conditionalFormatting>
        <x14:conditionalFormatting xmlns:xm="http://schemas.microsoft.com/office/excel/2006/main">
          <x14:cfRule type="expression" priority="823" id="{00000000-000E-0000-0000-00008D000000}">
            <xm:f>'dati immagini'!$D$19="NO"</xm:f>
            <x14:dxf>
              <fill>
                <patternFill patternType="lightUp">
                  <bgColor rgb="FFFF0000"/>
                </patternFill>
              </fill>
            </x14:dxf>
          </x14:cfRule>
          <xm:sqref>BE8:BF9</xm:sqref>
        </x14:conditionalFormatting>
        <x14:conditionalFormatting xmlns:xm="http://schemas.microsoft.com/office/excel/2006/main">
          <x14:cfRule type="expression" priority="540" id="{6EBDA8E2-DD25-428A-9D23-48CB2C23E77C}">
            <xm:f>'dati immagini'!$D$20="NO"</xm:f>
            <x14:dxf>
              <fill>
                <patternFill patternType="lightUp">
                  <bgColor rgb="FFFF0000"/>
                </patternFill>
              </fill>
            </x14:dxf>
          </x14:cfRule>
          <xm:sqref>BE29:BF29</xm:sqref>
        </x14:conditionalFormatting>
        <x14:conditionalFormatting xmlns:xm="http://schemas.microsoft.com/office/excel/2006/main">
          <x14:cfRule type="expression" priority="817" id="{00000000-000E-0000-0000-000087000000}">
            <xm:f>'dati immagini'!$J$19="NO"</xm:f>
            <x14:dxf>
              <fill>
                <patternFill patternType="lightUp">
                  <bgColor rgb="FFFF0000"/>
                </patternFill>
              </fill>
            </x14:dxf>
          </x14:cfRule>
          <xm:sqref>BE43:BF44</xm:sqref>
        </x14:conditionalFormatting>
        <x14:conditionalFormatting xmlns:xm="http://schemas.microsoft.com/office/excel/2006/main">
          <x14:cfRule type="expression" priority="536" id="{1A1B67FB-787E-4203-B05B-EE1DEA09DCFE}">
            <xm:f>'dati immagini'!$J$20="NO"</xm:f>
            <x14:dxf>
              <fill>
                <patternFill patternType="lightUp">
                  <bgColor rgb="FFFF0000"/>
                </patternFill>
              </fill>
            </x14:dxf>
          </x14:cfRule>
          <xm:sqref>BE65:BF65</xm:sqref>
        </x14:conditionalFormatting>
        <x14:conditionalFormatting xmlns:xm="http://schemas.microsoft.com/office/excel/2006/main">
          <x14:cfRule type="expression" priority="1454" id="{51C85AB3-1054-4039-AC55-B641FD4DBFB9}">
            <xm:f>'dati immagini'!$E$9=1</xm:f>
            <x14:dxf>
              <fill>
                <patternFill>
                  <bgColor rgb="FFFFCC0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expression" priority="497" id="{80D8F2F3-CD0D-4728-AA3D-CC3202E7BBB5}">
            <xm:f>'dati immagini'!$D$24="NO"</xm:f>
            <x14:dxf>
              <font>
                <strike/>
                <u val="double"/>
              </font>
              <fill>
                <gradientFill type="path" left="0.5" right="0.5" top="0.5" bottom="0.5">
                  <stop position="0">
                    <color rgb="FFFFFF00"/>
                  </stop>
                  <stop position="1">
                    <color rgb="FFFF0000"/>
                  </stop>
                </gradientFill>
              </fill>
            </x14:dxf>
          </x14:cfRule>
          <xm:sqref>BK4</xm:sqref>
        </x14:conditionalFormatting>
        <x14:conditionalFormatting xmlns:xm="http://schemas.microsoft.com/office/excel/2006/main">
          <x14:cfRule type="expression" priority="1781" id="{75E24A3C-0D95-4B1F-9239-649AC5293CF2}">
            <xm:f>'dati immagini'!$E$9=1</xm:f>
            <x14:dxf>
              <fill>
                <patternFill>
                  <bgColor rgb="FFFFCC0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expression" priority="499" id="{196BA549-1B21-4876-B93E-7C0660BD0413}">
            <xm:f>'dati immagini'!$D$26="NO"</xm:f>
            <x14:dxf>
              <font>
                <strike/>
                <u val="double"/>
              </font>
              <fill>
                <gradientFill type="path" left="0.5" right="0.5" top="0.5" bottom="0.5">
                  <stop position="0">
                    <color rgb="FFFFFF00"/>
                  </stop>
                  <stop position="1">
                    <color rgb="FFFF0000"/>
                  </stop>
                </gradientFill>
              </fill>
            </x14:dxf>
          </x14:cfRule>
          <xm:sqref>BK33</xm:sqref>
        </x14:conditionalFormatting>
        <x14:conditionalFormatting xmlns:xm="http://schemas.microsoft.com/office/excel/2006/main">
          <x14:cfRule type="expression" priority="477" id="{ECEDE8FB-37CF-4F5F-86A1-03E161C939ED}">
            <xm:f>'dati immagini'!$J$24="NO"</xm:f>
            <x14:dxf>
              <font>
                <strike/>
                <u val="double"/>
              </font>
              <fill>
                <gradientFill type="path" left="0.5" right="0.5" top="0.5" bottom="0.5">
                  <stop position="0">
                    <color rgb="FFFFFF00"/>
                  </stop>
                  <stop position="1">
                    <color rgb="FFFF0000"/>
                  </stop>
                </gradientFill>
              </fill>
            </x14:dxf>
          </x14:cfRule>
          <x14:cfRule type="expression" priority="1185" id="{32293E45-D26A-41CE-9B9F-EB1DD67403C4}">
            <xm:f>'dati immagini'!$E$12=1</xm:f>
            <x14:dxf>
              <fill>
                <patternFill>
                  <bgColor rgb="FFFFCC0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BK39</xm:sqref>
        </x14:conditionalFormatting>
        <x14:conditionalFormatting xmlns:xm="http://schemas.microsoft.com/office/excel/2006/main">
          <x14:cfRule type="expression" priority="1165" id="{0E25D60D-36CC-4CBB-8232-56433B445FD5}">
            <xm:f>'dati immagini'!$D$12</xm:f>
            <x14:dxf>
              <fill>
                <patternFill>
                  <bgColor rgb="FFFFCC0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expression" priority="475" id="{BC9BC7ED-6A08-435A-B32D-3C6A0301DA89}">
            <xm:f>'dati immagini'!$J$26="NO"</xm:f>
            <x14:dxf>
              <font>
                <strike/>
                <u val="double"/>
              </font>
              <fill>
                <gradientFill type="path" left="0.5" right="0.5" top="0.5" bottom="0.5">
                  <stop position="0">
                    <color rgb="FFFFFF00"/>
                  </stop>
                  <stop position="1">
                    <color rgb="FFFF0000"/>
                  </stop>
                </gradientFill>
              </fill>
            </x14:dxf>
          </x14:cfRule>
          <xm:sqref>BK69</xm:sqref>
        </x14:conditionalFormatting>
        <x14:conditionalFormatting xmlns:xm="http://schemas.microsoft.com/office/excel/2006/main">
          <x14:cfRule type="expression" priority="495" id="{3850DFF9-7713-4656-95A8-48A03535A09D}">
            <xm:f>'dati immagini'!$D$25="NO"</xm:f>
            <x14:dxf>
              <font>
                <strike/>
                <u val="double"/>
              </font>
              <fill>
                <gradientFill type="path" left="0.5" right="0.5" top="0.5" bottom="0.5">
                  <stop position="0">
                    <color rgb="FFFFFF00"/>
                  </stop>
                  <stop position="1">
                    <color rgb="FFFF0000"/>
                  </stop>
                </gradientFill>
              </fill>
            </x14:dxf>
          </x14:cfRule>
          <x14:cfRule type="expression" priority="526" id="{2960033C-A74A-4FC9-B436-A8C16E055F24}">
            <xm:f>'dati immagini'!$E$9=1</xm:f>
            <x14:dxf>
              <fill>
                <patternFill>
                  <bgColor rgb="FFFFCC0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BM23</xm:sqref>
        </x14:conditionalFormatting>
        <x14:conditionalFormatting xmlns:xm="http://schemas.microsoft.com/office/excel/2006/main">
          <x14:cfRule type="expression" priority="490" id="{77F5114A-1F79-4A71-A93F-A446CE598274}">
            <xm:f>'dati immagini'!$J$25="NO"</xm:f>
            <x14:dxf>
              <font>
                <strike/>
                <u val="double"/>
              </font>
              <fill>
                <gradientFill type="path" left="0.5" right="0.5" top="0.5" bottom="0.5">
                  <stop position="0">
                    <color rgb="FFFFFF00"/>
                  </stop>
                  <stop position="1">
                    <color rgb="FFFF0000"/>
                  </stop>
                </gradientFill>
              </fill>
            </x14:dxf>
          </x14:cfRule>
          <x14:cfRule type="expression" priority="514" id="{D001CB88-0A44-4EB2-9F3C-34445A98C133}">
            <xm:f>'dati immagini'!$E$12=1</xm:f>
            <x14:dxf>
              <fill>
                <patternFill>
                  <bgColor rgb="FFFFCC0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BM58</xm:sqref>
        </x14:conditionalFormatting>
        <x14:conditionalFormatting xmlns:xm="http://schemas.microsoft.com/office/excel/2006/main">
          <x14:cfRule type="expression" priority="820" id="{00000000-000E-0000-0000-00008A000000}">
            <xm:f>'dati immagini'!$F$20="NO"</xm:f>
            <x14:dxf>
              <fill>
                <patternFill patternType="lightUp">
                  <bgColor rgb="FFFF0000"/>
                </patternFill>
              </fill>
            </x14:dxf>
          </x14:cfRule>
          <xm:sqref>BR29</xm:sqref>
        </x14:conditionalFormatting>
        <x14:conditionalFormatting xmlns:xm="http://schemas.microsoft.com/office/excel/2006/main">
          <x14:cfRule type="expression" priority="821" id="{00000000-000E-0000-0000-00008B000000}">
            <xm:f>'dati immagini'!$F$19="NO"</xm:f>
            <x14:dxf>
              <fill>
                <patternFill patternType="lightUp">
                  <bgColor rgb="FFFF0000"/>
                </patternFill>
              </fill>
            </x14:dxf>
          </x14:cfRule>
          <xm:sqref>BR8:BS9</xm:sqref>
        </x14:conditionalFormatting>
        <x14:conditionalFormatting xmlns:xm="http://schemas.microsoft.com/office/excel/2006/main">
          <x14:cfRule type="expression" priority="489" id="{21469958-9C72-400B-9948-6B4AB3D7CF79}">
            <xm:f>'dati immagini'!$F$24="NO"</xm:f>
            <x14:dxf>
              <font>
                <strike/>
                <u val="double"/>
              </font>
              <fill>
                <gradientFill type="path" left="0.5" right="0.5" top="0.5" bottom="0.5">
                  <stop position="0">
                    <color rgb="FFFFFF00"/>
                  </stop>
                  <stop position="1">
                    <color rgb="FFFF0000"/>
                  </stop>
                </gradientFill>
              </fill>
            </x14:dxf>
          </x14:cfRule>
          <x14:cfRule type="expression" priority="1786" id="{A43DC768-BBA1-48F7-9283-411668BAAFF3}">
            <xm:f>'dati immagini'!$E$10=1</xm:f>
            <x14:dxf>
              <fill>
                <patternFill>
                  <bgColor rgb="FFFFCC0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BX4</xm:sqref>
        </x14:conditionalFormatting>
        <x14:conditionalFormatting xmlns:xm="http://schemas.microsoft.com/office/excel/2006/main">
          <x14:cfRule type="expression" priority="1784" id="{CD0961FE-94DC-4EE0-9B3D-3223F41BF343}">
            <xm:f>'dati immagini'!$E$10=1</xm:f>
            <x14:dxf>
              <fill>
                <patternFill>
                  <bgColor rgb="FFFFCC0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expression" priority="485" id="{648DC6A7-E2CE-47EA-A92D-F286FA89B330}">
            <xm:f>'dati immagini'!$F$26="NO"</xm:f>
            <x14:dxf>
              <font>
                <strike/>
                <u val="double"/>
              </font>
              <fill>
                <gradientFill type="path" left="0.5" right="0.5" top="0.5" bottom="0.5">
                  <stop position="0">
                    <color rgb="FFFFFF00"/>
                  </stop>
                  <stop position="1">
                    <color rgb="FFFF0000"/>
                  </stop>
                </gradientFill>
              </fill>
            </x14:dxf>
          </x14:cfRule>
          <xm:sqref>BX33</xm:sqref>
        </x14:conditionalFormatting>
        <x14:conditionalFormatting xmlns:xm="http://schemas.microsoft.com/office/excel/2006/main">
          <x14:cfRule type="expression" priority="492" id="{DBAA9B74-EB06-423F-8B12-E4C7B02C911A}">
            <xm:f>'dati immagini'!$F$25="NO"</xm:f>
            <x14:dxf>
              <font>
                <strike/>
                <u val="double"/>
              </font>
              <fill>
                <gradientFill type="path" left="0.5" right="0.5" top="0.5" bottom="0.5">
                  <stop position="0">
                    <color rgb="FFFFFF00"/>
                  </stop>
                  <stop position="1">
                    <color rgb="FFFF0000"/>
                  </stop>
                </gradientFill>
              </fill>
            </x14:dxf>
          </x14:cfRule>
          <x14:cfRule type="expression" priority="522" id="{837D620B-9DDC-4D7E-882F-170BD931B3EB}">
            <xm:f>'dati immagini'!$E$10=1</xm:f>
            <x14:dxf>
              <fill>
                <patternFill>
                  <bgColor rgb="FFFFCC0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BZ23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C9F461E1-EE94-4637-A7B5-B81C57620C3C}">
          <x14:formula1>
            <xm:f>DATI!$N$32:$N$40</xm:f>
          </x14:formula1>
          <xm:sqref>AA62 AA58 AA50 AA54 AA65</xm:sqref>
        </x14:dataValidation>
        <x14:dataValidation type="list" allowBlank="1" showInputMessage="1" showErrorMessage="1" xr:uid="{5C131E4F-8E04-4C31-B168-973B525EA478}">
          <x14:formula1>
            <xm:f>DATI!$AD$1:$AD$2</xm:f>
          </x14:formula1>
          <xm:sqref>M23</xm:sqref>
        </x14:dataValidation>
        <x14:dataValidation type="list" allowBlank="1" showInputMessage="1" showErrorMessage="1" xr:uid="{D87301DD-2AD6-450A-8ACE-12950357B65C}">
          <x14:formula1>
            <xm:f>DATI!$AA$20:$AA$21</xm:f>
          </x14:formula1>
          <xm:sqref>M30</xm:sqref>
        </x14:dataValidation>
        <x14:dataValidation type="list" allowBlank="1" showInputMessage="1" showErrorMessage="1" xr:uid="{58A6B27F-1BE2-4ED5-9608-1D3E10A00A91}">
          <x14:formula1>
            <xm:f>DATI!$AD$51:$AD$55</xm:f>
          </x14:formula1>
          <xm:sqref>BK35:BM35</xm:sqref>
        </x14:dataValidation>
        <x14:dataValidation type="list" allowBlank="1" showInputMessage="1" showErrorMessage="1" xr:uid="{10846081-1705-4B07-BB52-2CF92A21FE0A}">
          <x14:formula1>
            <xm:f>DATI!$AE$51:$AE$55</xm:f>
          </x14:formula1>
          <xm:sqref>BX35:BZ35</xm:sqref>
        </x14:dataValidation>
        <x14:dataValidation type="list" allowBlank="1" showInputMessage="1" showErrorMessage="1" xr:uid="{0CEBD7E1-70AD-49EB-8805-EE29A25A9CAF}">
          <x14:formula1>
            <xm:f>DATI!$AF$51:$AF$55</xm:f>
          </x14:formula1>
          <xm:sqref>AX71:AZ71</xm:sqref>
        </x14:dataValidation>
        <x14:dataValidation type="list" allowBlank="1" showInputMessage="1" showErrorMessage="1" xr:uid="{9AAE5E7A-5C2D-46B6-9DFA-A4ED3D3747A3}">
          <x14:formula1>
            <xm:f>DATI!$AG$51:$AG$55</xm:f>
          </x14:formula1>
          <xm:sqref>BK71:BM71</xm:sqref>
        </x14:dataValidation>
        <x14:dataValidation type="list" allowBlank="1" showInputMessage="1" showErrorMessage="1" xr:uid="{8E7B3873-9602-4663-B111-B18616D0AF94}">
          <x14:formula1>
            <xm:f>'dati immagini'!$L$8</xm:f>
          </x14:formula1>
          <xm:sqref>AW35 AW71 BW35 BJ71 BJ35</xm:sqref>
        </x14:dataValidation>
        <x14:dataValidation type="list" allowBlank="1" showInputMessage="1" showErrorMessage="1" xr:uid="{0F9C8601-EB59-4A8A-9185-C6D044DA29A9}">
          <x14:formula1>
            <xm:f>DATI!$K$57:$K$60</xm:f>
          </x14:formula1>
          <xm:sqref>M9:V10</xm:sqref>
        </x14:dataValidation>
        <x14:dataValidation type="list" allowBlank="1" showInputMessage="1" showErrorMessage="1" xr:uid="{B0FB2452-B84A-4F00-9CA5-27399F6953F3}">
          <x14:formula1>
            <xm:f>DATI!$AC$51:$AC$55</xm:f>
          </x14:formula1>
          <xm:sqref>AX35:AZ35</xm:sqref>
        </x14:dataValidation>
        <x14:dataValidation type="list" allowBlank="1" showInputMessage="1" showErrorMessage="1" xr:uid="{2FE9569F-1700-4F86-9637-BBA105A41A35}">
          <x14:formula1>
            <xm:f>IF($M$26="art. AX24",DATI!$N$65:$N$85,DATI!$N$6:$N$25)</xm:f>
          </x14:formula1>
          <xm:sqref>M38:AB38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C48C1-A327-4B6B-A52C-3FA5D06EECCD}">
  <sheetPr codeName="Foglio2"/>
  <dimension ref="A1:AP55"/>
  <sheetViews>
    <sheetView showGridLines="0" showRowColHeaders="0" view="pageBreakPreview" topLeftCell="A73" zoomScaleNormal="100" zoomScaleSheetLayoutView="100" workbookViewId="0">
      <selection activeCell="D121" sqref="D121"/>
    </sheetView>
  </sheetViews>
  <sheetFormatPr defaultRowHeight="13.2"/>
  <cols>
    <col min="1" max="6" width="22.6640625" customWidth="1"/>
    <col min="7" max="12" width="11.6640625" customWidth="1"/>
    <col min="14" max="14" width="10" bestFit="1" customWidth="1"/>
  </cols>
  <sheetData>
    <row r="1" spans="1:12" ht="200.1" customHeight="1"/>
    <row r="2" spans="1:12" ht="20.100000000000001" customHeight="1">
      <c r="A2" s="31" t="s">
        <v>202</v>
      </c>
      <c r="B2" s="31">
        <v>2</v>
      </c>
      <c r="C2" s="31">
        <v>3</v>
      </c>
      <c r="D2" s="31">
        <v>4</v>
      </c>
      <c r="E2" s="31">
        <v>5</v>
      </c>
      <c r="F2" s="31">
        <v>6</v>
      </c>
    </row>
    <row r="3" spans="1:12" ht="120" customHeight="1">
      <c r="B3" s="32"/>
    </row>
    <row r="4" spans="1:12" ht="20.100000000000001" customHeight="1">
      <c r="B4" s="31"/>
      <c r="C4" s="31"/>
      <c r="D4" s="31"/>
      <c r="E4" s="31"/>
      <c r="F4" s="31"/>
    </row>
    <row r="5" spans="1:12" ht="204" customHeight="1"/>
    <row r="6" spans="1:12" ht="20.100000000000001" customHeight="1">
      <c r="A6" t="s">
        <v>202</v>
      </c>
      <c r="B6" s="31">
        <v>2</v>
      </c>
      <c r="C6" s="31">
        <v>3</v>
      </c>
      <c r="D6" s="31">
        <v>4</v>
      </c>
      <c r="E6" s="31">
        <v>5</v>
      </c>
      <c r="F6" s="31">
        <v>6</v>
      </c>
    </row>
    <row r="7" spans="1:12" ht="122.1" customHeight="1">
      <c r="A7" t="s">
        <v>79</v>
      </c>
    </row>
    <row r="8" spans="1:12" ht="20.100000000000001" customHeight="1">
      <c r="A8" s="28" t="b">
        <f>IF(AND($E8=1,MODULO!$B$49&gt;0),"SI")</f>
        <v>0</v>
      </c>
      <c r="B8" s="28"/>
      <c r="C8" s="35" t="s">
        <v>74</v>
      </c>
      <c r="D8" s="28" t="b">
        <f>IF(AND(MODULO!$M$26&lt;&gt;"art. PB03",MODULO!$M$26&lt;&gt;"art. 4465",MODULO!$AW$35="SI"),TRUE,FALSE)</f>
        <v>0</v>
      </c>
      <c r="E8" s="36">
        <f>IF(D8=FALSE,0,1)</f>
        <v>0</v>
      </c>
      <c r="F8" s="28">
        <f>MODULO!$B$49</f>
        <v>0</v>
      </c>
      <c r="G8" s="28">
        <f>F8*E8</f>
        <v>0</v>
      </c>
      <c r="K8" t="b">
        <f>IF(AND('dati immagini'!$E$8=1,MODULO!$I$49&gt;0),INDEX('dati immagini'!$A$5:$F$5,MATCH(MODULO!$I$49,'dati immagini'!$A$6:$F$6,0)),IF(AND('dati immagini'!$E$8=0,MODULO!$I$49&gt;0),INDEX('dati immagini'!$A$1:$F$1,MATCH(MODULO!$I$49,'dati immagini'!$A$2:$F$2,0)),IF(AND('dati immagini'!$E$8=1,MODULO!$R$49&gt;0),INDEX('dati immagini'!$A$5:$F$5,MATCH(MODULO!$R$49,'dati immagini'!$A$6:$F$6,0)),IF(AND('dati immagini'!$E$8=0,MODULO!$R$49&gt;0),INDEX('dati immagini'!$A$1:$F$1,MATCH(MODULO!$R$49,'dati immagini'!$A$2:$F$2,0))))))</f>
        <v>0</v>
      </c>
      <c r="L8" s="32" t="s">
        <v>174</v>
      </c>
    </row>
    <row r="9" spans="1:12" ht="20.100000000000001" customHeight="1">
      <c r="A9" s="28" t="b">
        <f>IF(AND($E9=1,MODULO!$B$53&gt;0),"SI")</f>
        <v>0</v>
      </c>
      <c r="B9" s="37"/>
      <c r="C9" s="35" t="s">
        <v>75</v>
      </c>
      <c r="D9" s="28" t="b">
        <f>IF(AND(MODULO!$M$26&lt;&gt;"art. PB03",MODULO!$M$26&lt;&gt;"art. 4465",MODULO!$BJ$35="SI"),TRUE,FALSE)</f>
        <v>0</v>
      </c>
      <c r="E9" s="36">
        <f t="shared" ref="E9:E12" si="0">IF(D9=FALSE,0,1)</f>
        <v>0</v>
      </c>
      <c r="F9" s="28">
        <f>MODULO!$B$53</f>
        <v>0</v>
      </c>
      <c r="G9" s="28">
        <f t="shared" ref="G9:G12" si="1">F9*E9</f>
        <v>0</v>
      </c>
      <c r="K9" t="b">
        <f>IF(AND('dati immagini'!$E$9=1,MODULO!$I$53&gt;0),INDEX('dati immagini'!$A$5:$F$5,MATCH(MODULO!$I$53,'dati immagini'!$A$6:$F$6,0)),IF(AND('dati immagini'!$E$9=0,MODULO!$I$53&gt;0),INDEX('dati immagini'!$A$1:$F$1,MATCH(MODULO!$I$53,'dati immagini'!$A$2:$F$2,0)),IF(AND('dati immagini'!$E$9=1,MODULO!$R$53&gt;0),INDEX('dati immagini'!$A$5:$F$5,MATCH(MODULO!$R$53,'dati immagini'!$A$6:$F$6,0)),IF(AND('dati immagini'!$E$9=0,MODULO!$R$53&gt;0),INDEX('dati immagini'!$A$1:$F$1,MATCH(MODULO!$R$53,'dati immagini'!$A$2:$F$2,0))))))</f>
        <v>0</v>
      </c>
      <c r="L9" s="32"/>
    </row>
    <row r="10" spans="1:12" ht="20.100000000000001" customHeight="1">
      <c r="A10" s="28" t="b">
        <f>IF(AND($E10=1,MODULO!$B$57&gt;0),"SI")</f>
        <v>0</v>
      </c>
      <c r="B10" s="37"/>
      <c r="C10" s="35" t="s">
        <v>76</v>
      </c>
      <c r="D10" s="28" t="b">
        <f>IF(AND(MODULO!$M$26&lt;&gt;"art. PB03",MODULO!$M$26&lt;&gt;"art. 4465",MODULO!$BW$35="SI"),TRUE,FALSE)</f>
        <v>0</v>
      </c>
      <c r="E10" s="36">
        <f t="shared" si="0"/>
        <v>0</v>
      </c>
      <c r="F10" s="28">
        <f>MODULO!$B$57</f>
        <v>0</v>
      </c>
      <c r="G10" s="28">
        <f t="shared" si="1"/>
        <v>0</v>
      </c>
      <c r="K10" t="b">
        <f>IF(AND('dati immagini'!$E$10=1,MODULO!$I$57&gt;0),INDEX('dati immagini'!$A$5:$F$5,MATCH(MODULO!$I$57,'dati immagini'!$A$6:$F$6,0)),IF(AND('dati immagini'!$E$10=0,MODULO!$I$57&gt;0),INDEX('dati immagini'!$A$1:$F$1,MATCH(MODULO!$I$57,'dati immagini'!$A$2:$F$2,0)),IF(AND('dati immagini'!$E$10=1,MODULO!$R$57&gt;0),INDEX('dati immagini'!$A$5:$F$5,MATCH(MODULO!$R$57,'dati immagini'!$A$6:$F$6,0)),IF(AND('dati immagini'!$E$10=0,MODULO!$R$57&gt;0),INDEX('dati immagini'!$A$1:$F$1,MATCH(MODULO!$R$57,'dati immagini'!$A$2:$F$2,0))))))</f>
        <v>0</v>
      </c>
    </row>
    <row r="11" spans="1:12" ht="20.100000000000001" customHeight="1">
      <c r="A11" s="28" t="b">
        <f>IF(AND($E11=1,MODULO!$B$61&gt;0),"SI")</f>
        <v>0</v>
      </c>
      <c r="B11" s="37"/>
      <c r="C11" s="35" t="s">
        <v>77</v>
      </c>
      <c r="D11" s="28" t="b">
        <f>IF(AND(MODULO!$M$26&lt;&gt;"art. PB03",MODULO!$M$26&lt;&gt;"art. 4465",MODULO!$AW$71="SI"),TRUE,FALSE)</f>
        <v>0</v>
      </c>
      <c r="E11" s="36">
        <f t="shared" si="0"/>
        <v>0</v>
      </c>
      <c r="F11" s="28">
        <f>MODULO!$B$61</f>
        <v>0</v>
      </c>
      <c r="G11" s="28">
        <f t="shared" si="1"/>
        <v>0</v>
      </c>
      <c r="K11" t="b">
        <f>IF(AND('dati immagini'!$E$11=1,MODULO!$I$61&gt;0),INDEX('dati immagini'!$A$5:$F$5,MATCH(MODULO!$I$61,'dati immagini'!$A$6:$F$6,0)),IF(AND('dati immagini'!$E$11=0,MODULO!$I$61&gt;0),INDEX('dati immagini'!$A$1:$F$1,MATCH(MODULO!$I$61,'dati immagini'!$A$2:$F$2,0)),IF(AND('dati immagini'!$E$11=1,MODULO!$R$61&gt;0),INDEX('dati immagini'!$A$5:$F$5,MATCH(MODULO!$R$61,'dati immagini'!$A$6:$F$6,0)),IF(AND('dati immagini'!$E$11=0,MODULO!$R$61&gt;0),INDEX('dati immagini'!$A$1:$F$1,MATCH(MODULO!$R$61,'dati immagini'!$A$2:$F$2,0))))))</f>
        <v>0</v>
      </c>
    </row>
    <row r="12" spans="1:12" ht="20.100000000000001" customHeight="1">
      <c r="A12" s="28" t="b">
        <f>IF(AND($E12=1,MODULO!$B$65&gt;0),"SI")</f>
        <v>0</v>
      </c>
      <c r="B12" s="37"/>
      <c r="C12" s="35" t="s">
        <v>78</v>
      </c>
      <c r="D12" s="28" t="b">
        <f>IF(AND(MODULO!$M$26&lt;&gt;"art. PB03",MODULO!$M$26&lt;&gt;"art. 4465",MODULO!$BJ$71="SI"),TRUE,FALSE)</f>
        <v>0</v>
      </c>
      <c r="E12" s="39">
        <f t="shared" si="0"/>
        <v>0</v>
      </c>
      <c r="F12" s="34">
        <f>MODULO!$B$65</f>
        <v>0</v>
      </c>
      <c r="G12" s="34">
        <f t="shared" si="1"/>
        <v>0</v>
      </c>
      <c r="K12" t="b">
        <f>IF(AND('dati immagini'!$E$12=1,MODULO!$I$65&gt;0),INDEX('dati immagini'!$A$5:$F$5,MATCH(MODULO!$I$65,'dati immagini'!$A$6:$F$6,0)),IF(AND('dati immagini'!$E$12=0,MODULO!$I$65&gt;0),INDEX('dati immagini'!$A$1:$F$1,MATCH(MODULO!$I$65,'dati immagini'!$A$2:$F$2,0)),IF(AND('dati immagini'!$E$12=1,MODULO!$R$65&gt;0),INDEX('dati immagini'!$A$5:$F$5,MATCH(MODULO!$R$65,'dati immagini'!$A$6:$F$6,0)),IF(AND('dati immagini'!$E$12=0,MODULO!$R$65&gt;0),INDEX('dati immagini'!$A$1:$F$1,MATCH(MODULO!$R$65,'dati immagini'!$A$2:$F$2,0))))))</f>
        <v>0</v>
      </c>
    </row>
    <row r="13" spans="1:12" ht="20.100000000000001" customHeight="1">
      <c r="E13" s="40" t="s">
        <v>87</v>
      </c>
      <c r="F13" s="40" t="s">
        <v>86</v>
      </c>
      <c r="G13" s="573" t="s">
        <v>217</v>
      </c>
      <c r="H13" s="573"/>
    </row>
    <row r="14" spans="1:12" ht="30" customHeight="1">
      <c r="A14">
        <v>1</v>
      </c>
      <c r="B14" s="38" t="b">
        <f>IF(AND('dati immagini'!$E8=1,MODULO!$I$49&gt;0),INDEX('dati immagini'!$A$5:$F$5,MATCH(MODULO!$I$49,'dati immagini'!$A$6:$F$6,0)),IF(AND('dati immagini'!$E8=0,MODULO!$I$49&gt;0),INDEX('dati immagini'!$A$1:$F$1,MATCH(MODULO!$I$49,'dati immagini'!$A$2:$F$2,0)),IF(AND('dati immagini'!$E8=1,MODULO!$R$49&gt;0),INDEX('dati immagini'!$A$5:$F$5,MATCH(MODULO!$R$49,'dati immagini'!$A$6:$F$6,0)),IF(AND('dati immagini'!$E8=0,MODULO!$R$49&gt;0),INDEX('dati immagini'!$A$1:$F$1,MATCH(MODULO!$R$49,'dati immagini'!$A$2:$F$2,0))))))</f>
        <v>0</v>
      </c>
      <c r="E14" s="28"/>
      <c r="F14" s="28"/>
      <c r="G14" s="41">
        <f>SUM(G8:G12)</f>
        <v>0</v>
      </c>
      <c r="H14" s="41"/>
    </row>
    <row r="15" spans="1:12" ht="30" customHeight="1">
      <c r="A15">
        <v>2</v>
      </c>
      <c r="B15" s="38" t="b">
        <f>IF(AND('dati immagini'!$E9=1,MODULO!$I$53&gt;0),INDEX('dati immagini'!$A$5:$F$5,MATCH(MODULO!$I$53,'dati immagini'!$A$6:$F$6,0)),IF(AND('dati immagini'!$E9=0,MODULO!$I$53&gt;0),INDEX('dati immagini'!$A$1:$F$1,MATCH(MODULO!$I$53,'dati immagini'!$A$2:$F$2,0)),IF(AND('dati immagini'!$E9=1,MODULO!$R$53&gt;0),INDEX('dati immagini'!$A$5:$F$5,MATCH(MODULO!$R$53,'dati immagini'!$A$6:$F$6,0)),IF(AND('dati immagini'!$E9=0,MODULO!$R$53&gt;0),INDEX('dati immagini'!$A$1:$F$1,MATCH(MODULO!$R$53,'dati immagini'!$A$2:$F$2,0))))))</f>
        <v>0</v>
      </c>
    </row>
    <row r="16" spans="1:12" ht="30" customHeight="1">
      <c r="A16">
        <v>3</v>
      </c>
      <c r="B16" s="38" t="b">
        <f>IF(AND('dati immagini'!$E10=1,MODULO!$I$57&gt;0),INDEX('dati immagini'!$A$5:$F$5,MATCH(MODULO!$I$57,'dati immagini'!$A$6:$F$6,0)),IF(AND('dati immagini'!$E10=0,MODULO!$I$57&gt;0),INDEX('dati immagini'!$A$1:$F$1,MATCH(MODULO!$I$57,'dati immagini'!$A$2:$F$2,0)),IF(AND('dati immagini'!$E10=1,MODULO!$R$57&gt;0),INDEX('dati immagini'!$A$5:$F$5,MATCH(MODULO!$R$57,'dati immagini'!$A$6:$F$6,0)),IF(AND('dati immagini'!$E10=0,MODULO!$R$57&gt;0),INDEX('dati immagini'!$A$1:$F$1,MATCH(MODULO!$R$57,'dati immagini'!$A$2:$F$2,0))))))</f>
        <v>0</v>
      </c>
    </row>
    <row r="17" spans="1:42" ht="30" customHeight="1">
      <c r="A17">
        <v>4</v>
      </c>
      <c r="B17" s="38" t="b">
        <f>IF(AND('dati immagini'!$E11=1,MODULO!$I$61&gt;0),INDEX('dati immagini'!$A$5:$F$5,MATCH(MODULO!$I$61,'dati immagini'!$A$6:$F$6,0)),IF(AND('dati immagini'!$E11=0,MODULO!$I$61&gt;0),INDEX('dati immagini'!$A$1:$F$1,MATCH(MODULO!$I$61,'dati immagini'!$A$2:$F$2,0)),IF(AND('dati immagini'!$E11=1,MODULO!$R$61&gt;0),INDEX('dati immagini'!$A$5:$F$5,MATCH(MODULO!$R$61,'dati immagini'!$A$6:$F$6,0)),IF(AND('dati immagini'!$E11=0,MODULO!$R$61&gt;0),INDEX('dati immagini'!$A$1:$F$1,MATCH(MODULO!$R$61,'dati immagini'!$A$2:$F$2,0))))))</f>
        <v>0</v>
      </c>
    </row>
    <row r="18" spans="1:42" ht="30" customHeight="1" thickBot="1">
      <c r="A18">
        <v>5</v>
      </c>
      <c r="B18" s="38" t="b">
        <f>IF(AND('dati immagini'!$E12=1,MODULO!$I$65&gt;0),INDEX('dati immagini'!$A$5:$F$5,MATCH(MODULO!$I$65,'dati immagini'!$A$6:$F$6,0)),IF(AND('dati immagini'!$E12=0,MODULO!$I$65&gt;0),INDEX('dati immagini'!$A$1:$F$1,MATCH(MODULO!$I$65,'dati immagini'!$A$2:$F$2,0)),IF(AND('dati immagini'!$E12=1,MODULO!$R$65&gt;0),INDEX('dati immagini'!$A$5:$F$5,MATCH(MODULO!$R$65,'dati immagini'!$A$6:$F$6,0)),IF(AND('dati immagini'!$E12=0,MODULO!$R$65&gt;0),INDEX('dati immagini'!$A$1:$F$1,MATCH(MODULO!$R$65,'dati immagini'!$A$2:$F$2,0))))))</f>
        <v>0</v>
      </c>
    </row>
    <row r="19" spans="1:42" ht="30" customHeight="1" thickBot="1">
      <c r="A19" s="123">
        <f>MODULO!AR8</f>
        <v>0</v>
      </c>
      <c r="B19" s="124" t="str">
        <f>IF(AND(DATI!$O$6&gt;0,'dati immagini'!A19&lt;&gt;0,'dati immagini'!A19&lt;85),"NO",IF(AND(DATI!$O$8&gt;0,'dati immagini'!A19&lt;&gt;0,'dati immagini'!A19&lt;115),"NO",IF(AND(DATI!$O$10&gt;0,'dati immagini'!A19&lt;&gt;0,'dati immagini'!A19&lt;65),"NO",IF(AND(DATI!$O$12&gt;0,'dati immagini'!A19&lt;&gt;0,'dati immagini'!A19&lt;80),"NO",IF(AND(DATI!$O$22&gt;0,'dati immagini'!A19&lt;&gt;0,'dati immagini'!A19&lt;80),"NO",IF(AND(DATI!$O$19&gt;0,'dati immagini'!A19&lt;&gt;0,'dati immagini'!A19&lt;100),"NO","SI"))))))</f>
        <v>SI</v>
      </c>
      <c r="C19" s="123">
        <f>MODULO!BE8</f>
        <v>0</v>
      </c>
      <c r="D19" s="124" t="str">
        <f>IF(AND(DATI!$O$6&gt;0,'dati immagini'!C19&lt;&gt;0,'dati immagini'!C19&lt;85),"NO",IF(AND(DATI!$O$8&gt;0,'dati immagini'!C19&lt;&gt;0,'dati immagini'!C19&lt;115),"NO",IF(AND(DATI!$O$10&gt;0,'dati immagini'!C19&lt;&gt;0,'dati immagini'!C19&lt;65),"NO",IF(AND(DATI!$O$12&gt;0,'dati immagini'!C19&lt;&gt;0,'dati immagini'!C19&lt;80),"NO",IF(AND(DATI!$O$22&gt;0,'dati immagini'!C19&lt;&gt;0,'dati immagini'!C19&lt;80),"NO",IF(AND(DATI!$O$19&gt;0,'dati immagini'!C19&lt;&gt;0,'dati immagini'!C19&lt;100),"NO","SI"))))))</f>
        <v>SI</v>
      </c>
      <c r="E19" s="123">
        <f>MODULO!BR8</f>
        <v>0</v>
      </c>
      <c r="F19" s="124" t="str">
        <f>IF(AND(DATI!$O$6&gt;0,'dati immagini'!E19&lt;&gt;0,'dati immagini'!E19&lt;85),"NO",IF(AND(DATI!$O$8&gt;0,'dati immagini'!E19&lt;&gt;0,'dati immagini'!E19&lt;115),"NO",IF(AND(DATI!$O$10&gt;0,'dati immagini'!E19&lt;&gt;0,'dati immagini'!E19&lt;65),"NO",IF(AND(DATI!$O$12&gt;0,'dati immagini'!E19&lt;&gt;0,'dati immagini'!E19&lt;80),"NO",IF(AND(DATI!$O$22&gt;0,'dati immagini'!E19&lt;&gt;0,'dati immagini'!E19&lt;80),"NO",IF(AND(DATI!$O$19&gt;0,'dati immagini'!E19&lt;&gt;0,'dati immagini'!E19&lt;100),"NO","SI"))))))</f>
        <v>SI</v>
      </c>
      <c r="G19" s="123">
        <f>MODULO!AR43</f>
        <v>0</v>
      </c>
      <c r="H19" s="124" t="str">
        <f>IF(AND(DATI!$O$6&gt;0,'dati immagini'!G19&lt;&gt;0,'dati immagini'!G19&lt;85),"NO",IF(AND(DATI!$O$8&gt;0,'dati immagini'!G19&lt;&gt;0,'dati immagini'!G19&lt;115),"NO",IF(AND(DATI!$O$10&gt;0,'dati immagini'!G19&lt;&gt;0,'dati immagini'!G19&lt;65),"NO",IF(AND(DATI!$O$12&gt;0,'dati immagini'!G19&lt;&gt;0,'dati immagini'!G19&lt;80),"NO",IF(AND(DATI!$O$22&gt;0,'dati immagini'!G19&lt;&gt;0,'dati immagini'!G19&lt;80),"NO",IF(AND(DATI!$O$19&gt;0,'dati immagini'!G19&lt;&gt;0,'dati immagini'!G19&lt;100),"NO","SI"))))))</f>
        <v>SI</v>
      </c>
      <c r="I19" s="123">
        <f>MODULO!BE43</f>
        <v>0</v>
      </c>
      <c r="J19" s="124" t="str">
        <f>IF(AND(DATI!$O$6&gt;0,'dati immagini'!I19&lt;&gt;0,'dati immagini'!I19&lt;85),"NO",IF(AND(DATI!$O$8&gt;0,'dati immagini'!I19&lt;&gt;0,'dati immagini'!I19&lt;115),"NO",IF(AND(DATI!$O$10&gt;0,'dati immagini'!I19&lt;&gt;0,'dati immagini'!I19&lt;65),"NO",IF(AND(DATI!$O$12&gt;0,'dati immagini'!I19&lt;&gt;0,'dati immagini'!I19&lt;80),"NO",IF(AND(DATI!$O$22&gt;0,'dati immagini'!I19&lt;&gt;0,'dati immagini'!I19&lt;80),"NO",IF(AND(DATI!$O$19&gt;0,'dati immagini'!I19&lt;&gt;0,'dati immagini'!I19&lt;100),"NO","SI"))))))</f>
        <v>SI</v>
      </c>
    </row>
    <row r="20" spans="1:42" ht="30" customHeight="1" thickBot="1">
      <c r="A20" s="125">
        <f>MODULO!AR29</f>
        <v>0</v>
      </c>
      <c r="B20" s="124" t="str">
        <f>IF(AND(DATI!$O$6&gt;0,'dati immagini'!A20&lt;&gt;0,'dati immagini'!A20&lt;85),"NO",IF(AND(DATI!$O$8&gt;0,'dati immagini'!A20&lt;&gt;0,'dati immagini'!A20&lt;115),"NO",IF(AND(DATI!$O$10&gt;0,'dati immagini'!A20&lt;&gt;0,'dati immagini'!A20&lt;65),"NO",IF(AND(DATI!$O$12&gt;0,'dati immagini'!A20&lt;&gt;0,'dati immagini'!A20&lt;80),"NO",IF(AND(DATI!$O$22&gt;0,'dati immagini'!A20&lt;&gt;0,'dati immagini'!A20&lt;80),"NO",IF(AND(DATI!$O$19&gt;0,'dati immagini'!A20&lt;&gt;0,'dati immagini'!A20&lt;100),"NO","SI"))))))</f>
        <v>SI</v>
      </c>
      <c r="C20" s="125">
        <f>MODULO!BE29</f>
        <v>0</v>
      </c>
      <c r="D20" s="124" t="str">
        <f>IF(AND(DATI!$O$6&gt;0,'dati immagini'!C20&lt;&gt;0,'dati immagini'!C20&lt;85),"NO",IF(AND(DATI!$O$8&gt;0,'dati immagini'!C20&lt;&gt;0,'dati immagini'!C20&lt;115),"NO",IF(AND(DATI!$O$10&gt;0,'dati immagini'!C20&lt;&gt;0,'dati immagini'!C20&lt;65),"NO",IF(AND(DATI!$O$12&gt;0,'dati immagini'!C20&lt;&gt;0,'dati immagini'!C20&lt;80),"NO",IF(AND(DATI!$O$22&gt;0,'dati immagini'!C20&lt;&gt;0,'dati immagini'!C20&lt;80),"NO",IF(AND(DATI!$O$19&gt;0,'dati immagini'!C20&lt;&gt;0,'dati immagini'!C20&lt;100),"NO","SI"))))))</f>
        <v>SI</v>
      </c>
      <c r="E20" s="125">
        <f>MODULO!BR29</f>
        <v>0</v>
      </c>
      <c r="F20" s="124" t="str">
        <f>IF(AND(DATI!$O$6&gt;0,'dati immagini'!E20&lt;&gt;0,'dati immagini'!E20&lt;85),"NO",IF(AND(DATI!$O$8&gt;0,'dati immagini'!E20&lt;&gt;0,'dati immagini'!E20&lt;115),"NO",IF(AND(DATI!$O$10&gt;0,'dati immagini'!E20&lt;&gt;0,'dati immagini'!E20&lt;65),"NO",IF(AND(DATI!$O$12&gt;0,'dati immagini'!E20&lt;&gt;0,'dati immagini'!E20&lt;80),"NO",IF(AND(DATI!$O$22&gt;0,'dati immagini'!E20&lt;&gt;0,'dati immagini'!E20&lt;80),"NO",IF(AND(DATI!$O$19&gt;0,'dati immagini'!E20&lt;&gt;0,'dati immagini'!E20&lt;100),"NO","SI"))))))</f>
        <v>SI</v>
      </c>
      <c r="G20" s="125">
        <f>MODULO!AR65</f>
        <v>0</v>
      </c>
      <c r="H20" s="124" t="str">
        <f>IF(AND(DATI!$O$6&gt;0,'dati immagini'!G20&lt;&gt;0,'dati immagini'!G20&lt;85),"NO",IF(AND(DATI!$O$8&gt;0,'dati immagini'!G20&lt;&gt;0,'dati immagini'!G20&lt;115),"NO",IF(AND(DATI!$O$10&gt;0,'dati immagini'!G20&lt;&gt;0,'dati immagini'!G20&lt;65),"NO",IF(AND(DATI!$O$12&gt;0,'dati immagini'!G20&lt;&gt;0,'dati immagini'!G20&lt;80),"NO",IF(AND(DATI!$O$22&gt;0,'dati immagini'!G20&lt;&gt;0,'dati immagini'!G20&lt;80),"NO",IF(AND(DATI!$O$19&gt;0,'dati immagini'!G20&lt;&gt;0,'dati immagini'!G20&lt;100),"NO","SI"))))))</f>
        <v>SI</v>
      </c>
      <c r="I20" s="125">
        <f>MODULO!BE65</f>
        <v>0</v>
      </c>
      <c r="J20" s="124" t="str">
        <f>IF(AND(DATI!$O$6&gt;0,'dati immagini'!I20&lt;&gt;0,'dati immagini'!I20&lt;85),"NO",IF(AND(DATI!$O$8&gt;0,'dati immagini'!I20&lt;&gt;0,'dati immagini'!I20&lt;115),"NO",IF(AND(DATI!$O$10&gt;0,'dati immagini'!I20&lt;&gt;0,'dati immagini'!I20&lt;65),"NO",IF(AND(DATI!$O$12&gt;0,'dati immagini'!I20&lt;&gt;0,'dati immagini'!I20&lt;80),"NO",IF(AND(DATI!$O$22&gt;0,'dati immagini'!I20&lt;&gt;0,'dati immagini'!I20&lt;80),"NO",IF(AND(DATI!$O$19&gt;0,'dati immagini'!I20&lt;&gt;0,'dati immagini'!I20&lt;100),"NO","SI"))))))</f>
        <v>SI</v>
      </c>
    </row>
    <row r="21" spans="1:42" ht="30" customHeight="1" thickBot="1">
      <c r="A21" s="121" t="str">
        <f>IF(AND(B21="NO",DATI!$O$6&gt;0),"cerniera MINIMO a 85mm",IF(AND(B21="NO",DATI!$O$8&gt;0),"cerniera MINIMO a 115mm",IF(AND(B21="NO",DATI!$O$10&gt;0),"cerniera MINIMO a 65mm",IF(AND(B21="NO",DATI!$O$19&gt;0),"cerniera MINIMO a 100mm",IF(AND(B21="NO",DATI!$O$12&gt;0),"cerniera MINIMO a 80mm",IF(AND(B21="NO",DATI!$O$22&gt;0),"cerniera MINIMO a 80mm",""))))))</f>
        <v/>
      </c>
      <c r="B21" s="122" t="str">
        <f>IF(OR(B19="NO",B20="NO"),"NO","")</f>
        <v/>
      </c>
      <c r="C21" s="121" t="str">
        <f>IF(AND(D21="NO",DATI!$O$6&gt;0),"cerniera MINIMO a 85mm",IF(AND(D21="NO",DATI!$O$8&gt;0),"cerniera MINIMO a 115mm",IF(AND(D21="NO",DATI!$O$10&gt;0),"cerniera MINIMO a 65mm",IF(AND(D21="NO",DATI!$O$19&gt;0),"cerniera MINIMO a 100mm",IF(AND(D21="NO",DATI!$O$12&gt;0),"cerniera MINIMO a 80mm",IF(AND(D21="NO",DATI!$O$22&gt;0),"cerniera MINIMO a 80mm",""))))))</f>
        <v/>
      </c>
      <c r="D21" s="122" t="str">
        <f>IF(OR(D19="NO",D20="NO"),"NO","")</f>
        <v/>
      </c>
      <c r="E21" s="121" t="str">
        <f>IF(AND(F21="NO",DATI!$O$6&gt;0),"cerniera MINIMO a 85mm",IF(AND(F21="NO",DATI!$O$8&gt;0),"cerniera MINIMO a 115mm",IF(AND(F21="NO",DATI!$O$10&gt;0),"cerniera MINIMO a 65mm",IF(AND(F21="NO",DATI!$O$19&gt;0),"cerniera MINIMO a 100mm",IF(AND(F21="NO",DATI!$O$12&gt;0),"cerniera MINIMO a 80mm",IF(AND(F21="NO",DATI!$O$22&gt;0),"cerniera MINIMO a 80mm",""))))))</f>
        <v/>
      </c>
      <c r="F21" s="122" t="str">
        <f>IF(OR(F19="NO",F20="NO"),"NO","")</f>
        <v/>
      </c>
      <c r="G21" s="121" t="str">
        <f>IF(AND(H21="NO",DATI!$O$6&gt;0),"cerniera MINIMO a 85mm",IF(AND(H21="NO",DATI!$O$8&gt;0),"cerniera MINIMO a 115mm",IF(AND(H21="NO",DATI!$O$10&gt;0),"cerniera MINIMO a 65mm",IF(AND(H21="NO",DATI!$O$19&gt;0),"cerniera MINIMO a 100mm",IF(AND(H21="NO",DATI!$O$12&gt;0),"cerniera MINIMO a 80mm",IF(AND(H21="NO",DATI!$O$22&gt;0),"cerniera MINIMO a 80mm",""))))))</f>
        <v/>
      </c>
      <c r="H21" s="122" t="str">
        <f>IF(OR(H19="NO",H20="NO"),"NO","")</f>
        <v/>
      </c>
      <c r="I21" s="121" t="str">
        <f>IF(AND(J21="NO",DATI!$O$6&gt;0),"cerniera MINIMO a 85mm",IF(AND(J21="NO",DATI!$O$8&gt;0),"cerniera MINIMO a 115mm",IF(AND(J21="NO",DATI!$O$10&gt;0),"cerniera MINIMO a 65mm",IF(AND(J21="NO",DATI!$O$19&gt;0),"cerniera MINIMO a 100mm",IF(AND(J21="NO",DATI!$O$12&gt;0),"cerniera MINIMO a 80mm",IF(AND(J21="NO",DATI!$O$22&gt;0),"cerniera MINIMO a 80mm",""))))))</f>
        <v/>
      </c>
      <c r="J21" s="122" t="str">
        <f>IF(OR(J19="NO",J20="NO"),"NO","")</f>
        <v/>
      </c>
    </row>
    <row r="22" spans="1:42" ht="30" customHeight="1" thickBot="1">
      <c r="A22" s="574" t="s">
        <v>147</v>
      </c>
      <c r="B22" s="575"/>
      <c r="C22" s="574" t="s">
        <v>147</v>
      </c>
      <c r="D22" s="575"/>
      <c r="E22" s="574" t="s">
        <v>147</v>
      </c>
      <c r="F22" s="575"/>
      <c r="G22" s="574" t="s">
        <v>147</v>
      </c>
      <c r="H22" s="575"/>
      <c r="I22" s="574" t="s">
        <v>147</v>
      </c>
      <c r="J22" s="575"/>
    </row>
    <row r="23" spans="1:42" ht="30" customHeight="1" thickBot="1">
      <c r="A23" s="571" t="s">
        <v>149</v>
      </c>
      <c r="B23" s="571"/>
      <c r="C23" s="571" t="s">
        <v>150</v>
      </c>
      <c r="D23" s="571"/>
      <c r="E23" s="571" t="s">
        <v>151</v>
      </c>
      <c r="F23" s="571"/>
      <c r="G23" s="571" t="s">
        <v>152</v>
      </c>
      <c r="H23" s="571"/>
      <c r="I23" s="571" t="s">
        <v>153</v>
      </c>
      <c r="J23" s="571"/>
      <c r="O23" s="571" t="s">
        <v>149</v>
      </c>
      <c r="P23" s="571"/>
      <c r="Q23" s="571" t="s">
        <v>150</v>
      </c>
      <c r="R23" s="571"/>
      <c r="S23" s="571" t="s">
        <v>151</v>
      </c>
      <c r="T23" s="571"/>
      <c r="U23" s="571" t="s">
        <v>152</v>
      </c>
      <c r="V23" s="571"/>
      <c r="W23" s="571" t="s">
        <v>153</v>
      </c>
      <c r="X23" s="571"/>
      <c r="Y23" s="567" t="s">
        <v>225</v>
      </c>
      <c r="Z23" s="567"/>
    </row>
    <row r="24" spans="1:42" ht="30" customHeight="1" thickBot="1">
      <c r="A24" s="123" t="str">
        <f>IF(MODULO!$AX$4&lt;&gt;"",MODULO!$AX$4,"")</f>
        <v/>
      </c>
      <c r="B24" s="124" t="str">
        <f>IF(AND(DATI!$O$6&gt;0,'dati immagini'!A24&lt;90),"NO",IF(AND(DATI!$O$8&gt;0,'dati immagini'!A24&lt;125),"NO",IF(AND(DATI!$O$10&gt;0,'dati immagini'!A24&lt;45),"NO",IF(AND(DATI!$O$12&gt;0,'dati immagini'!A24&lt;60),"NO",IF(AND(DATI!$O$22&gt;0,'dati immagini'!A24&lt;60),"NO",IF(AND(DATI!$I$19&gt;0,'dati immagini'!A24&lt;80),"NO","SI"))))))</f>
        <v>SI</v>
      </c>
      <c r="C24" s="123" t="str">
        <f>IF(MODULO!$BK$4&lt;&gt;"",MODULO!$BK$4,"")</f>
        <v/>
      </c>
      <c r="D24" s="124" t="str">
        <f>IF(AND(DATI!$O$6&gt;0,'dati immagini'!C24&lt;90),"NO",IF(AND(DATI!$O$8&gt;0,'dati immagini'!C24&lt;125),"NO",IF(AND(DATI!$O$10&gt;0,'dati immagini'!C24&lt;45),"NO",IF(AND(DATI!$O$12&gt;0,'dati immagini'!C24&lt;60),"NO",IF(AND(DATI!$O$22&gt;0,'dati immagini'!C24&lt;60),"NO",IF(AND(DATI!$I$19&gt;0,'dati immagini'!C24&lt;80),"NO","SI"))))))</f>
        <v>SI</v>
      </c>
      <c r="E24" s="123" t="str">
        <f>IF(MODULO!$BX$4&lt;&gt;"",MODULO!$BX$4,"")</f>
        <v/>
      </c>
      <c r="F24" s="124" t="str">
        <f>IF(AND(DATI!$O$6&gt;0,'dati immagini'!E24&lt;90),"NO",IF(AND(DATI!$O$8&gt;0,'dati immagini'!E24&lt;125),"NO",IF(AND(DATI!$O$10&gt;0,'dati immagini'!E24&lt;45),"NO",IF(AND(DATI!$O$12&gt;0,'dati immagini'!E24&lt;60),"NO",IF(AND(DATI!$O$22&gt;0,'dati immagini'!E24&lt;60),"NO",IF(AND(DATI!$I$19&gt;0,'dati immagini'!E24&lt;80),"NO","SI"))))))</f>
        <v>SI</v>
      </c>
      <c r="G24" s="123" t="str">
        <f>IF(MODULO!$AX$39&lt;&gt;"",MODULO!$AX$39,"")</f>
        <v/>
      </c>
      <c r="H24" s="124" t="str">
        <f>IF(AND(DATI!$O$6&gt;0,'dati immagini'!G24&lt;90),"NO",IF(AND(DATI!$O$8&gt;0,'dati immagini'!G24&lt;125),"NO",IF(AND(DATI!$O$10&gt;0,'dati immagini'!G24&lt;45),"NO",IF(AND(DATI!$O$12&gt;0,'dati immagini'!G24&lt;60),"NO",IF(AND(DATI!$O$22&gt;0,'dati immagini'!G24&lt;60),"NO",IF(AND(DATI!$I$19&gt;0,'dati immagini'!G24&lt;80),"NO","SI"))))))</f>
        <v>SI</v>
      </c>
      <c r="I24" s="123" t="str">
        <f>IF(MODULO!$BK$39&lt;&gt;"",MODULO!$BK$39,"")</f>
        <v/>
      </c>
      <c r="J24" s="124" t="str">
        <f>IF(AND(DATI!$O$6&gt;0,'dati immagini'!I24&lt;90),"NO",IF(AND(DATI!$O$8&gt;0,'dati immagini'!I24&lt;125),"NO",IF(AND(DATI!$O$10&gt;0,'dati immagini'!I24&lt;45),"NO",IF(AND(DATI!$O$12&gt;0,'dati immagini'!I24&lt;60),"NO",IF(AND(DATI!$O$22&gt;0,'dati immagini'!I24&lt;60),"NO",IF(AND(DATI!$I$19&gt;0,'dati immagini'!I24&lt;80),"NO","SI"))))))</f>
        <v>SI</v>
      </c>
      <c r="O24" s="570" t="str">
        <f>IF(MODULO!$AW$35="SI",MODULO!$AX$35,"NO")</f>
        <v>NO</v>
      </c>
      <c r="P24" s="570"/>
      <c r="Q24" s="570" t="str">
        <f>IF(MODULO!$BJ$35="SI",MODULO!$BK$35,"NO")</f>
        <v>NO</v>
      </c>
      <c r="R24" s="570"/>
      <c r="S24" s="570" t="str">
        <f>IF(MODULO!$BW$35="SI",MODULO!$BX$35,"NO")</f>
        <v>NO</v>
      </c>
      <c r="T24" s="570"/>
      <c r="U24" s="570" t="str">
        <f>IF(MODULO!$AW$71="SI",MODULO!$AX$71,"NO")</f>
        <v>NO</v>
      </c>
      <c r="V24" s="570"/>
      <c r="W24" s="570" t="str">
        <f>IF(MODULO!$BJ$71="SI",MODULO!$BK$71,"NO")</f>
        <v>NO</v>
      </c>
      <c r="X24" s="570"/>
      <c r="Y24" s="568" t="str">
        <f>IF(AND($O$24&lt;&gt;"NO",$O$24&lt;&gt;"Fori Ø 5 passo"),$O$24,IF(AND($Q$24&lt;&gt;"NO",$Q$24&lt;&gt;"Fori Ø 5 passo"),$Q$24,IF(AND($S$24&lt;&gt;"NO",$S$24&lt;&gt;"Fori Ø 5 passo"),$S$24,IF(AND($U$24&lt;&gt;"NO",$U$24&lt;&gt;"Fori Ø 5 passo"),$U$24,IF(AND($W$24&lt;&gt;"NO",$W$24&lt;&gt;"Fori Ø 5 passo"),$W$24,"-")))))</f>
        <v>-</v>
      </c>
      <c r="Z24" s="569"/>
    </row>
    <row r="25" spans="1:42" ht="30" customHeight="1" thickBot="1">
      <c r="A25" s="123" t="str">
        <f>IF(MODULO!$AZ$23&lt;&gt;"",MODULO!$AZ$23,"")</f>
        <v/>
      </c>
      <c r="B25" s="124" t="str">
        <f>IF(AND(DATI!$O$6&gt;0,'dati immagini'!A25&lt;90),"NO",IF(AND(DATI!$O$8&gt;0,'dati immagini'!A25&lt;125),"NO",IF(AND(DATI!$O$10&gt;0,'dati immagini'!A25&lt;45),"NO",IF(AND(DATI!$O$12&gt;0,'dati immagini'!A25&lt;60),"NO",IF(AND(DATI!$O$22&gt;0,'dati immagini'!A25&lt;60),"NO",IF(AND(DATI!$I$19&gt;0,'dati immagini'!A25&lt;80),"NO","SI"))))))</f>
        <v>SI</v>
      </c>
      <c r="C25" s="123" t="str">
        <f>IF(MODULO!$BM$23&lt;&gt;"",MODULO!$BM$23,"")</f>
        <v/>
      </c>
      <c r="D25" s="124" t="str">
        <f>IF(AND(DATI!$O$6&gt;0,'dati immagini'!C25&lt;90),"NO",IF(AND(DATI!$O$8&gt;0,'dati immagini'!C25&lt;125),"NO",IF(AND(DATI!$O$10&gt;0,'dati immagini'!C25&lt;45),"NO",IF(AND(DATI!$O$12&gt;0,'dati immagini'!C25&lt;60),"NO",IF(AND(DATI!$O$22&gt;0,'dati immagini'!C25&lt;60),"NO",IF(AND(DATI!$I$19&gt;0,'dati immagini'!C25&lt;80),"NO","SI"))))))</f>
        <v>SI</v>
      </c>
      <c r="E25" s="123" t="str">
        <f>IF(MODULO!$BZ$23&lt;&gt;"",MODULO!$BZ$23,"")</f>
        <v/>
      </c>
      <c r="F25" s="124" t="str">
        <f>IF(AND(DATI!$O$6&gt;0,'dati immagini'!E25&lt;90),"NO",IF(AND(DATI!$O$8&gt;0,'dati immagini'!E25&lt;125),"NO",IF(AND(DATI!$O$10&gt;0,'dati immagini'!E25&lt;45),"NO",IF(AND(DATI!$O$12&gt;0,'dati immagini'!E25&lt;60),"NO",IF(AND(DATI!$O$22&gt;0,'dati immagini'!E25&lt;60),"NO",IF(AND(DATI!$I$19&gt;0,'dati immagini'!E25&lt;80),"NO","SI"))))))</f>
        <v>SI</v>
      </c>
      <c r="G25" s="123" t="str">
        <f>IF(MODULO!$AZ$58&lt;&gt;"",MODULO!$AZ$58,"")</f>
        <v/>
      </c>
      <c r="H25" s="124" t="str">
        <f>IF(AND(DATI!$O$6&gt;0,'dati immagini'!G25&lt;90),"NO",IF(AND(DATI!$O$8&gt;0,'dati immagini'!G25&lt;125),"NO",IF(AND(DATI!$O$10&gt;0,'dati immagini'!G25&lt;45),"NO",IF(AND(DATI!$O$12&gt;0,'dati immagini'!G25&lt;60),"NO",IF(AND(DATI!$O$22&gt;0,'dati immagini'!G25&lt;60),"NO",IF(AND(DATI!$I$19&gt;0,'dati immagini'!G25&lt;80),"NO","SI"))))))</f>
        <v>SI</v>
      </c>
      <c r="I25" s="123" t="str">
        <f>IF(MODULO!$BM$58&lt;&gt;"",MODULO!$BM$58,"")</f>
        <v/>
      </c>
      <c r="J25" s="124" t="str">
        <f>IF(AND(DATI!$O$6&gt;0,'dati immagini'!I25&lt;90),"NO",IF(AND(DATI!$O$8&gt;0,'dati immagini'!I25&lt;125),"NO",IF(AND(DATI!$O$10&gt;0,'dati immagini'!I25&lt;45),"NO",IF(AND(DATI!$O$12&gt;0,'dati immagini'!I25&lt;60),"NO",IF(AND(DATI!$O$22&gt;0,'dati immagini'!I25&lt;60),"NO",IF(AND(DATI!$I$19&gt;0,'dati immagini'!I25&lt;80),"NO","SI"))))))</f>
        <v>SI</v>
      </c>
      <c r="O25" s="32"/>
    </row>
    <row r="26" spans="1:42" ht="30" customHeight="1" thickBot="1">
      <c r="A26" s="123" t="str">
        <f>IF(MODULO!$AX$33&lt;&gt;"",MODULO!$AX$33,"")</f>
        <v/>
      </c>
      <c r="B26" s="124" t="str">
        <f>IF(AND(DATI!$O$6&gt;0,'dati immagini'!A26&lt;90),"NO",IF(AND(DATI!$O$8&gt;0,'dati immagini'!A26&lt;125),"NO",IF(AND(DATI!$O$10&gt;0,'dati immagini'!A26&lt;45),"NO",IF(AND(DATI!$O$12&gt;0,'dati immagini'!A26&lt;60),"NO",IF(AND(DATI!$O$22&gt;0,'dati immagini'!A26&lt;60),"NO",IF(AND(DATI!$I$19&gt;0,'dati immagini'!A26&lt;80),"NO","SI"))))))</f>
        <v>SI</v>
      </c>
      <c r="C26" s="123" t="str">
        <f>IF(MODULO!$BK$33&lt;&gt;"",MODULO!$BK$33,"")</f>
        <v/>
      </c>
      <c r="D26" s="124" t="str">
        <f>IF(AND(DATI!$O$6&gt;0,'dati immagini'!C26&lt;90),"NO",IF(AND(DATI!$O$8&gt;0,'dati immagini'!C26&lt;125),"NO",IF(AND(DATI!$O$10&gt;0,'dati immagini'!C26&lt;45),"NO",IF(AND(DATI!$O$12&gt;0,'dati immagini'!C26&lt;60),"NO",IF(AND(DATI!$O$22&gt;0,'dati immagini'!C26&lt;60),"NO",IF(AND(DATI!$I$19&gt;0,'dati immagini'!C26&lt;80),"NO","SI"))))))</f>
        <v>SI</v>
      </c>
      <c r="E26" s="123" t="str">
        <f>IF(MODULO!$BX$33&lt;&gt;"",MODULO!$BX$33,"")</f>
        <v/>
      </c>
      <c r="F26" s="124" t="str">
        <f>IF(AND(DATI!$O$6&gt;0,'dati immagini'!E26&lt;90),"NO",IF(AND(DATI!$O$8&gt;0,'dati immagini'!E26&lt;125),"NO",IF(AND(DATI!$O$10&gt;0,'dati immagini'!E26&lt;45),"NO",IF(AND(DATI!$O$12&gt;0,'dati immagini'!E26&lt;60),"NO",IF(AND(DATI!$O$22&gt;0,'dati immagini'!E26&lt;60),"NO",IF(AND(DATI!$I$19&gt;0,'dati immagini'!E26&lt;80),"NO","SI"))))))</f>
        <v>SI</v>
      </c>
      <c r="G26" s="123" t="str">
        <f>IF(MODULO!$AX$69&lt;&gt;"",MODULO!$AX$69,"")</f>
        <v/>
      </c>
      <c r="H26" s="124" t="str">
        <f>IF(AND(DATI!$O$6&gt;0,'dati immagini'!G26&lt;90),"NO",IF(AND(DATI!$O$8&gt;0,'dati immagini'!G26&lt;125),"NO",IF(AND(DATI!$O$10&gt;0,'dati immagini'!G26&lt;45),"NO",IF(AND(DATI!$O$12&gt;0,'dati immagini'!G26&lt;60),"NO",IF(AND(DATI!$O$22&gt;0,'dati immagini'!G26&lt;60),"NO",IF(AND(DATI!$I$19&gt;0,'dati immagini'!G26&lt;80),"NO","SI"))))))</f>
        <v>SI</v>
      </c>
      <c r="I26" s="123" t="str">
        <f>IF(MODULO!$BK$69&lt;&gt;"",MODULO!$BK$69,"")</f>
        <v/>
      </c>
      <c r="J26" s="124" t="str">
        <f>IF(AND(DATI!$O$6&gt;0,'dati immagini'!I26&lt;90),"NO",IF(AND(DATI!$O$8&gt;0,'dati immagini'!I26&lt;125),"NO",IF(AND(DATI!$O$10&gt;0,'dati immagini'!I26&lt;45),"NO",IF(AND(DATI!$O$12&gt;0,'dati immagini'!I26&lt;60),"NO",IF(AND(DATI!$O$22&gt;0,'dati immagini'!I26&lt;60),"NO",IF(AND(DATI!$I$19&gt;0,'dati immagini'!I26&lt;80),"NO","SI"))))))</f>
        <v>SI</v>
      </c>
    </row>
    <row r="27" spans="1:42" ht="30" customHeight="1" thickBot="1">
      <c r="A27" s="121" t="str">
        <f>IF(AND(B27="NO",DATI!$O$6&gt;0),"maniglia MINIMO a 90mm",IF(AND(B27="NO",DATI!$O$8&gt;0),"maniglia MINIMO a 125mm",IF(AND(B27="NO",DATI!$O$10&gt;0),"maniglia MINIMO a 45mm",IF(AND(B27="NO",DATI!$O$12&gt;0),"maniglia MINIMO a 60mm",IF(AND(B27="NO",DATI!$I$19&gt;0),"maniglia MINIMO a 80mm",IF(AND(B27="NO",DATI!$O$22&gt;0),"maniglia MINIMO a 60mm",""))))))</f>
        <v/>
      </c>
      <c r="B27" s="122" t="str">
        <f>IF(OR(B25="NO",B26="NO",B24="NO"),"NO","")</f>
        <v/>
      </c>
      <c r="C27" s="121" t="str">
        <f>IF(AND(D27="NO",DATI!$O$6&gt;0),"maniglia MINIMO a 90mm",IF(AND(D27="NO",DATI!$O$8&gt;0),"maniglia MINIMO a 125mm",IF(AND(D27="NO",DATI!$O$10&gt;0),"maniglia MINIMO a 45mm",IF(AND(D27="NO",DATI!$O$12&gt;0),"maniglia MINIMO a 60mm",IF(AND(D27="NO",DATI!$I$19&gt;0),"maniglia MINIMO a 80mm",IF(AND(D27="NO",DATI!$O$22&gt;0),"maniglia MINIMO a 60mm",""))))))</f>
        <v/>
      </c>
      <c r="D27" s="122" t="str">
        <f>IF(OR(D25="NO",D26="NO",D24="NO"),"NO","")</f>
        <v/>
      </c>
      <c r="E27" s="121" t="str">
        <f>IF(AND(F27="NO",DATI!$O$6&gt;0),"maniglia MINIMO a 90mm",IF(AND(F27="NO",DATI!$O$8&gt;0),"maniglia MINIMO a 125mm",IF(AND(F27="NO",DATI!$O$10&gt;0),"maniglia MINIMO a 45mm",IF(AND(F27="NO",DATI!$O$12&gt;0),"maniglia MINIMO a 60mm",IF(AND(F27="NO",DATI!$I$19&gt;0),"maniglia MINIMO a 80mm",IF(AND(F27="NO",DATI!$O$22&gt;0),"maniglia MINIMO a 60mm",""))))))</f>
        <v/>
      </c>
      <c r="F27" s="122" t="str">
        <f>IF(OR(F25="NO",F26="NO",F24="NO"),"NO","")</f>
        <v/>
      </c>
      <c r="G27" s="121" t="str">
        <f>IF(AND(H27="NO",DATI!$O$6&gt;0),"maniglia MINIMO a 90mm",IF(AND(H27="NO",DATI!$O$8&gt;0),"maniglia MINIMO a 125mm",IF(AND(H27="NO",DATI!$O$10&gt;0),"maniglia MINIMO a 45mm",IF(AND(H27="NO",DATI!$O$12&gt;0),"maniglia MINIMO a 60mm",IF(AND(H27="NO",DATI!$I$19&gt;0),"maniglia MINIMO a 80mm",IF(AND(H27="NO",DATI!$O$22&gt;0),"maniglia MINIMO a 60mm",""))))))</f>
        <v/>
      </c>
      <c r="H27" s="122" t="str">
        <f>IF(OR(H25="NO",H26="NO",H24="NO"),"NO","")</f>
        <v/>
      </c>
      <c r="I27" s="121" t="str">
        <f>IF(AND(J27="NO",DATI!$O$6&gt;0),"maniglia MINIMO a 90mm",IF(AND(J27="NO",DATI!$O$8&gt;0),"maniglia MINIMO a 125mm",IF(AND(J27="NO",DATI!$O$10&gt;0),"maniglia MINIMO a 45mm",IF(AND(J27="NO",DATI!$O$12&gt;0),"maniglia MINIMO a 60mm",IF(AND(J27="NO",DATI!$I$19&gt;0),"maniglia MINIMO a 80mm",IF(AND(J27="NO",DATI!$O$22&gt;0),"maniglia MINIMO a 60mm",""))))))</f>
        <v/>
      </c>
      <c r="J27" s="122" t="str">
        <f>IF(OR(J25="NO",J26="NO",J24="NO"),"NO","")</f>
        <v/>
      </c>
    </row>
    <row r="28" spans="1:42" ht="23.1" customHeight="1" thickBot="1">
      <c r="A28" s="574" t="s">
        <v>148</v>
      </c>
      <c r="B28" s="575"/>
      <c r="C28" s="574" t="s">
        <v>148</v>
      </c>
      <c r="D28" s="575"/>
      <c r="E28" s="574" t="s">
        <v>148</v>
      </c>
      <c r="F28" s="575"/>
      <c r="G28" s="574" t="s">
        <v>148</v>
      </c>
      <c r="H28" s="575"/>
      <c r="I28" s="574" t="s">
        <v>148</v>
      </c>
      <c r="J28" s="575"/>
    </row>
    <row r="29" spans="1:42" ht="23.1" customHeight="1">
      <c r="A29">
        <f>SUM(A24:A26)</f>
        <v>0</v>
      </c>
      <c r="C29">
        <f>SUM(C24:C26)</f>
        <v>0</v>
      </c>
      <c r="E29">
        <f>SUM(E24:E26)</f>
        <v>0</v>
      </c>
      <c r="G29">
        <f>SUM(G24:G26)</f>
        <v>0</v>
      </c>
      <c r="I29">
        <f>SUM(I24:I26)</f>
        <v>0</v>
      </c>
    </row>
    <row r="30" spans="1:42" ht="23.1" customHeight="1">
      <c r="A30" t="str">
        <f>IF('dati immagini'!A21&lt;&gt;"",'dati immagini'!A21,'dati immagini'!A27)</f>
        <v/>
      </c>
      <c r="O30" s="28" t="e">
        <f>INDEX('dati immagini'!$O$31:$AF$31,MATCH('dati immagini'!$Y$24,'dati immagini'!$O$32:$AF$32,0))</f>
        <v>#N/A</v>
      </c>
      <c r="P30" s="258" t="s">
        <v>226</v>
      </c>
      <c r="Q30" s="259"/>
      <c r="R30" s="33"/>
    </row>
    <row r="31" spans="1:42" ht="240" customHeight="1">
      <c r="G31" s="393"/>
      <c r="H31" s="393"/>
      <c r="I31" s="393"/>
      <c r="J31" s="393"/>
      <c r="K31" s="393"/>
      <c r="L31" s="393"/>
      <c r="M31" s="393"/>
      <c r="N31" s="393"/>
      <c r="O31" s="400"/>
      <c r="P31" s="400"/>
      <c r="Q31" s="400"/>
      <c r="R31" s="400"/>
      <c r="S31" s="400"/>
      <c r="T31" s="400"/>
      <c r="U31" s="400"/>
      <c r="V31" s="400"/>
      <c r="W31" s="400"/>
      <c r="X31" s="400"/>
      <c r="Y31" s="400"/>
      <c r="Z31" s="400"/>
      <c r="AA31" s="400"/>
      <c r="AB31" s="400"/>
      <c r="AC31" s="400"/>
      <c r="AD31" s="400"/>
      <c r="AE31" s="393"/>
      <c r="AF31" s="393"/>
      <c r="AG31" s="393"/>
      <c r="AH31" s="393"/>
      <c r="AI31" s="393"/>
      <c r="AJ31" s="393"/>
      <c r="AK31" s="393"/>
      <c r="AL31" s="393"/>
      <c r="AM31" s="393"/>
      <c r="AN31" s="393"/>
      <c r="AO31" s="393"/>
      <c r="AP31" s="393"/>
    </row>
    <row r="32" spans="1:42" ht="23.1" customHeight="1">
      <c r="A32" s="50" t="s">
        <v>202</v>
      </c>
      <c r="B32" s="50" t="s">
        <v>82</v>
      </c>
      <c r="C32" s="50" t="s">
        <v>107</v>
      </c>
      <c r="D32" s="50" t="s">
        <v>73</v>
      </c>
      <c r="E32" s="50" t="s">
        <v>182</v>
      </c>
      <c r="F32" s="50" t="s">
        <v>269</v>
      </c>
      <c r="G32" s="438" t="s">
        <v>184</v>
      </c>
      <c r="H32" s="438"/>
      <c r="I32" s="438" t="s">
        <v>185</v>
      </c>
      <c r="J32" s="438"/>
      <c r="K32" s="438" t="s">
        <v>186</v>
      </c>
      <c r="L32" s="438"/>
      <c r="M32" s="438"/>
      <c r="N32" s="438"/>
      <c r="O32" s="438" t="s">
        <v>197</v>
      </c>
      <c r="P32" s="438"/>
      <c r="Q32" s="438"/>
      <c r="R32" s="438"/>
      <c r="S32" s="438" t="s">
        <v>198</v>
      </c>
      <c r="T32" s="438"/>
      <c r="U32" s="438"/>
      <c r="V32" s="438"/>
      <c r="W32" s="438" t="s">
        <v>201</v>
      </c>
      <c r="X32" s="438"/>
      <c r="Y32" s="438"/>
      <c r="Z32" s="438"/>
      <c r="AA32" s="438" t="s">
        <v>196</v>
      </c>
      <c r="AB32" s="438"/>
      <c r="AC32" s="438"/>
      <c r="AD32" s="438"/>
      <c r="AE32" s="438" t="s">
        <v>270</v>
      </c>
      <c r="AF32" s="438"/>
      <c r="AG32" s="438"/>
      <c r="AH32" s="438"/>
      <c r="AI32" s="438" t="s">
        <v>202</v>
      </c>
      <c r="AJ32" s="438"/>
      <c r="AK32" s="438"/>
      <c r="AL32" s="438"/>
      <c r="AM32" s="438"/>
      <c r="AN32" s="438"/>
      <c r="AO32" s="438"/>
      <c r="AP32" s="438"/>
    </row>
    <row r="33" spans="1:42" ht="23.1" customHeight="1"/>
    <row r="34" spans="1:42" ht="23.1" customHeight="1"/>
    <row r="35" spans="1:42" ht="23.1" customHeight="1"/>
    <row r="36" spans="1:42" ht="23.1" customHeight="1"/>
    <row r="37" spans="1:42" ht="23.1" customHeight="1"/>
    <row r="38" spans="1:42" ht="23.1" customHeight="1"/>
    <row r="39" spans="1:42" ht="23.1" customHeight="1"/>
    <row r="40" spans="1:42" ht="316.5" customHeight="1">
      <c r="B40" s="393"/>
      <c r="C40" s="393"/>
      <c r="D40" s="393"/>
      <c r="E40" s="393"/>
      <c r="F40" s="393"/>
      <c r="G40" s="393"/>
      <c r="H40" s="393"/>
      <c r="I40" s="393"/>
      <c r="J40" s="393"/>
      <c r="K40" s="393"/>
      <c r="L40" s="393"/>
      <c r="M40" s="393"/>
      <c r="N40" s="393"/>
      <c r="O40" s="393"/>
      <c r="P40" s="393"/>
      <c r="Q40" s="393"/>
      <c r="R40" s="393"/>
      <c r="S40" s="577" t="s">
        <v>348</v>
      </c>
      <c r="T40" s="578"/>
      <c r="U40" s="578"/>
      <c r="V40" s="578"/>
      <c r="W40" s="578"/>
      <c r="X40" s="578"/>
      <c r="Y40" s="577" t="s">
        <v>348</v>
      </c>
      <c r="Z40" s="578"/>
      <c r="AA40" s="578"/>
      <c r="AB40" s="578"/>
      <c r="AC40" s="578"/>
      <c r="AD40" s="578"/>
      <c r="AE40" s="576"/>
      <c r="AF40" s="576"/>
      <c r="AG40" s="576"/>
      <c r="AH40" s="576"/>
      <c r="AI40" s="576"/>
      <c r="AJ40" s="576"/>
      <c r="AK40" s="393"/>
      <c r="AL40" s="393"/>
      <c r="AM40" s="393"/>
      <c r="AN40" s="393"/>
      <c r="AO40" s="393"/>
      <c r="AP40" s="393"/>
    </row>
    <row r="41" spans="1:42" ht="23.1" customHeight="1">
      <c r="A41" s="177" t="s">
        <v>8</v>
      </c>
      <c r="B41" s="572" t="s">
        <v>10</v>
      </c>
      <c r="C41" s="572"/>
      <c r="D41" s="572"/>
      <c r="E41" s="572" t="b">
        <f>IF(OR(MODULO!$I$49&lt;&gt;"",MODULO!$R$49&lt;&gt;"")*AND(OR(MODULO!$M$33&lt;&gt;"DS20",MODULO!$M$33&lt;&gt;"DS30")),"C")</f>
        <v>0</v>
      </c>
      <c r="F41" s="572"/>
      <c r="G41" s="572"/>
      <c r="H41" s="572" t="s">
        <v>9</v>
      </c>
      <c r="I41" s="572"/>
      <c r="J41" s="572"/>
      <c r="K41" s="572"/>
      <c r="L41" s="572"/>
      <c r="M41" s="572" t="s">
        <v>12</v>
      </c>
      <c r="N41" s="572"/>
      <c r="O41" s="572"/>
      <c r="P41" s="572"/>
      <c r="Q41" s="572"/>
      <c r="R41" s="572"/>
      <c r="S41" s="572" t="s">
        <v>272</v>
      </c>
      <c r="T41" s="572"/>
      <c r="U41" s="572"/>
      <c r="V41" s="572"/>
      <c r="W41" s="572"/>
      <c r="X41" s="572"/>
      <c r="Y41" s="572" t="s">
        <v>273</v>
      </c>
      <c r="Z41" s="572"/>
      <c r="AA41" s="572"/>
      <c r="AB41" s="572"/>
      <c r="AC41" s="572"/>
      <c r="AD41" s="572"/>
      <c r="AE41" s="572" t="s">
        <v>13</v>
      </c>
      <c r="AF41" s="572"/>
      <c r="AG41" s="572"/>
      <c r="AH41" s="572"/>
      <c r="AI41" s="572"/>
      <c r="AJ41" s="572"/>
      <c r="AK41" s="572" t="s">
        <v>274</v>
      </c>
      <c r="AL41" s="572"/>
      <c r="AM41" s="572"/>
      <c r="AN41" s="572"/>
      <c r="AO41" s="572"/>
      <c r="AP41" s="572"/>
    </row>
    <row r="42" spans="1:42" ht="23.1" customHeight="1">
      <c r="A42" s="178" t="str">
        <f>IF(MODULO!$M$26="art. AX24","H",IF(MODULO!$M$26="art. 1934","G",IF(AND(MODULO!$M$26="art. AN008",MODULO!$M$29="ACCIAIO ANODIZZATO"),"F",IF(AND(MODULO!$M$26="art. 3301",MODULO!$M$29="ACCIAIO ANODIZZATO"),"F",IF(MODULO!$M$33="DS 20","E",IF(MODULO!$M$33="DS 30","D",IF(AND(MODULO!$M$33&lt;&gt;"",MODULO!$M$33&lt;&gt;"DS 20",MODULO!$M$33&lt;&gt;"DS 30"),"C","B")))))))</f>
        <v>B</v>
      </c>
      <c r="C42">
        <f>IF($A$42&lt;&gt;"",INDEX($A$40:$AK$40,MATCH($A$42,$A$41:$AK$41,0)))</f>
        <v>0</v>
      </c>
      <c r="D42" t="b">
        <f>IF(AND('dati immagini'!$E$8=1,MODULO!$I$49&gt;0),INDEX('dati immagini'!$A$5:$F$5,MATCH(MODULO!$I$49,'dati immagini'!$A$6:$F$6,0)),IF(AND('dati immagini'!$E$8=0,MODULO!$I$49&gt;0),INDEX('dati immagini'!$A$1:$F$1,MATCH(MODULO!$I$49,'dati immagini'!$A$2:$F$2,0)),IF(AND('dati immagini'!$E$8=1,MODULO!$R$49&gt;0),INDEX('dati immagini'!$A$5:$F$5,MATCH(MODULO!$R$49,'dati immagini'!$A$6:$F$6,0)),IF(AND('dati immagini'!$E$8=0,MODULO!$R$49&gt;0),INDEX('dati immagini'!$A$1:$F$1,MATCH(MODULO!$R$49,'dati immagini'!$A$2:$F$2,0))))))</f>
        <v>0</v>
      </c>
    </row>
    <row r="43" spans="1:42" ht="23.1" customHeight="1"/>
    <row r="44" spans="1:42" ht="23.1" customHeight="1">
      <c r="B44" t="b">
        <f>IF(MODULO!$M$33="art. 1934","G",IF(AND(MODULO!$M$33="art. AN008",MODULO!$M$29="ACCIAIO ANODIZZATO"),"F",IF(AND(MODULO!$M$33="art. 3301",MODULO!$M$29="ACCIAIO ANODIZZATO"),"F")))</f>
        <v>0</v>
      </c>
    </row>
    <row r="45" spans="1:42" ht="23.1" customHeight="1"/>
    <row r="46" spans="1:42" ht="23.1" customHeight="1"/>
    <row r="47" spans="1:42" ht="23.1" customHeight="1"/>
    <row r="48" spans="1:42" ht="23.1" customHeight="1"/>
    <row r="49" spans="1:7" ht="23.1" customHeight="1"/>
    <row r="50" spans="1:7" ht="23.1" customHeight="1"/>
    <row r="51" spans="1:7" ht="23.1" customHeight="1"/>
    <row r="52" spans="1:7" ht="23.1" customHeight="1"/>
    <row r="53" spans="1:7" ht="23.1" customHeight="1"/>
    <row r="54" spans="1:7" ht="23.1" customHeight="1">
      <c r="A54" s="177"/>
      <c r="B54" s="572"/>
      <c r="C54" s="572"/>
      <c r="D54" s="572"/>
      <c r="E54" s="572"/>
      <c r="F54" s="572"/>
      <c r="G54" s="572"/>
    </row>
    <row r="55" spans="1:7" ht="23.1" customHeight="1">
      <c r="A55" s="177"/>
    </row>
  </sheetData>
  <sheetProtection algorithmName="SHA-512" hashValue="uFi0GSBkIBUfKBQ/ZyYNyOG5sQjFmpWFEhLgrg36VZ2EDCAjWb89ncOShDg3sKKHV7c2dZnaZHIzAIVbhQFVxA==" saltValue="gERiuwV7PhkEwAVdqJkIUg==" spinCount="100000" sheet="1" objects="1" scenarios="1" selectLockedCells="1"/>
  <mergeCells count="72">
    <mergeCell ref="AE40:AJ40"/>
    <mergeCell ref="AE41:AJ41"/>
    <mergeCell ref="AK41:AP41"/>
    <mergeCell ref="AK40:AP40"/>
    <mergeCell ref="S40:X40"/>
    <mergeCell ref="S41:X41"/>
    <mergeCell ref="Y40:AD40"/>
    <mergeCell ref="Y41:AD41"/>
    <mergeCell ref="G31:H31"/>
    <mergeCell ref="I31:J31"/>
    <mergeCell ref="K32:L32"/>
    <mergeCell ref="K31:L31"/>
    <mergeCell ref="I22:J22"/>
    <mergeCell ref="I23:J23"/>
    <mergeCell ref="I28:J28"/>
    <mergeCell ref="G32:H32"/>
    <mergeCell ref="I32:J32"/>
    <mergeCell ref="G13:H13"/>
    <mergeCell ref="A22:B22"/>
    <mergeCell ref="A28:B28"/>
    <mergeCell ref="A23:B23"/>
    <mergeCell ref="C22:D22"/>
    <mergeCell ref="C23:D23"/>
    <mergeCell ref="C28:D28"/>
    <mergeCell ref="E22:F22"/>
    <mergeCell ref="E23:F23"/>
    <mergeCell ref="E28:F28"/>
    <mergeCell ref="G22:H22"/>
    <mergeCell ref="G23:H23"/>
    <mergeCell ref="G28:H28"/>
    <mergeCell ref="M32:N32"/>
    <mergeCell ref="O32:R32"/>
    <mergeCell ref="H40:L40"/>
    <mergeCell ref="M40:R40"/>
    <mergeCell ref="H41:L41"/>
    <mergeCell ref="M41:R41"/>
    <mergeCell ref="B54:D54"/>
    <mergeCell ref="E54:G54"/>
    <mergeCell ref="B41:D41"/>
    <mergeCell ref="E41:G41"/>
    <mergeCell ref="B40:D40"/>
    <mergeCell ref="E40:G40"/>
    <mergeCell ref="AO32:AP32"/>
    <mergeCell ref="M31:N31"/>
    <mergeCell ref="O31:R31"/>
    <mergeCell ref="S31:V31"/>
    <mergeCell ref="W31:Z31"/>
    <mergeCell ref="AA31:AD31"/>
    <mergeCell ref="AI31:AJ31"/>
    <mergeCell ref="AK31:AL31"/>
    <mergeCell ref="AM31:AN31"/>
    <mergeCell ref="AO31:AP31"/>
    <mergeCell ref="AI32:AJ32"/>
    <mergeCell ref="AK32:AL32"/>
    <mergeCell ref="AM32:AN32"/>
    <mergeCell ref="S32:V32"/>
    <mergeCell ref="W32:Z32"/>
    <mergeCell ref="AA32:AD32"/>
    <mergeCell ref="AE31:AH31"/>
    <mergeCell ref="AE32:AH32"/>
    <mergeCell ref="Y23:Z23"/>
    <mergeCell ref="Y24:Z24"/>
    <mergeCell ref="O24:P24"/>
    <mergeCell ref="Q24:R24"/>
    <mergeCell ref="S24:T24"/>
    <mergeCell ref="U24:V24"/>
    <mergeCell ref="W24:X24"/>
    <mergeCell ref="O23:P23"/>
    <mergeCell ref="Q23:R23"/>
    <mergeCell ref="S23:T23"/>
    <mergeCell ref="U23:V23"/>
    <mergeCell ref="W23:X23"/>
  </mergeCells>
  <phoneticPr fontId="33" type="noConversion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4FABF-CCEE-435A-A8E4-CCF6A31AA6BF}">
  <sheetPr codeName="Foglio3">
    <pageSetUpPr fitToPage="1"/>
  </sheetPr>
  <dimension ref="A1:CG82"/>
  <sheetViews>
    <sheetView showGridLines="0" showRowColHeaders="0" zoomScaleNormal="100" zoomScaleSheetLayoutView="100" workbookViewId="0">
      <selection activeCell="G3" sqref="G3:K3"/>
    </sheetView>
  </sheetViews>
  <sheetFormatPr defaultRowHeight="13.2"/>
  <cols>
    <col min="1" max="1" width="17.5546875" customWidth="1"/>
    <col min="2" max="2" width="22" customWidth="1"/>
    <col min="3" max="3" width="2.33203125" customWidth="1"/>
    <col min="4" max="6" width="1.21875" customWidth="1"/>
    <col min="7" max="11" width="2.6640625" customWidth="1"/>
    <col min="12" max="14" width="2.44140625" customWidth="1"/>
    <col min="15" max="15" width="2.6640625" customWidth="1"/>
    <col min="16" max="16" width="1" customWidth="1"/>
    <col min="17" max="19" width="1.44140625" customWidth="1"/>
    <col min="20" max="20" width="2.5546875" customWidth="1"/>
    <col min="21" max="21" width="2.21875" customWidth="1"/>
    <col min="22" max="22" width="5.33203125" customWidth="1"/>
    <col min="23" max="24" width="3.33203125" customWidth="1"/>
    <col min="25" max="25" width="6.33203125" customWidth="1"/>
    <col min="26" max="26" width="2.33203125" customWidth="1"/>
    <col min="27" max="27" width="6.33203125" customWidth="1"/>
    <col min="28" max="28" width="4.77734375" customWidth="1"/>
    <col min="29" max="31" width="1.44140625" customWidth="1"/>
    <col min="32" max="35" width="3.109375" customWidth="1"/>
    <col min="36" max="37" width="20.33203125" customWidth="1"/>
    <col min="38" max="38" width="10" bestFit="1" customWidth="1"/>
    <col min="39" max="39" width="24.5546875" customWidth="1"/>
    <col min="56" max="56" width="9" customWidth="1"/>
    <col min="68" max="68" width="6.6640625" customWidth="1"/>
    <col min="69" max="69" width="8.6640625" customWidth="1"/>
    <col min="70" max="70" width="6.6640625" customWidth="1"/>
    <col min="71" max="72" width="8.6640625" customWidth="1"/>
    <col min="73" max="73" width="7.6640625" customWidth="1"/>
    <col min="74" max="74" width="9.21875" customWidth="1"/>
    <col min="75" max="75" width="17.44140625" customWidth="1"/>
    <col min="76" max="76" width="7.6640625" customWidth="1"/>
  </cols>
  <sheetData>
    <row r="1" spans="1:8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</row>
    <row r="2" spans="1:85" ht="15.9" customHeight="1" thickBot="1">
      <c r="A2" s="5"/>
      <c r="B2" s="5"/>
      <c r="C2" s="701" t="s">
        <v>6</v>
      </c>
      <c r="D2" s="701"/>
      <c r="E2" s="701"/>
      <c r="F2" s="701"/>
      <c r="G2" s="701"/>
      <c r="H2" s="702" t="str">
        <f>IF(MODULO!$M$12="","",MODULO!$M$12)</f>
        <v/>
      </c>
      <c r="I2" s="702"/>
      <c r="J2" s="702"/>
      <c r="K2" s="702"/>
      <c r="L2" s="702"/>
      <c r="M2" s="702"/>
      <c r="N2" s="702"/>
      <c r="O2" s="702"/>
      <c r="P2" s="702"/>
      <c r="Q2" s="702"/>
      <c r="R2" s="702"/>
      <c r="S2" s="702"/>
      <c r="T2" s="702"/>
      <c r="U2" s="702"/>
      <c r="V2" s="702"/>
      <c r="W2" s="686" t="s">
        <v>95</v>
      </c>
      <c r="X2" s="686"/>
      <c r="Y2" s="702" t="str">
        <f>IF(MODULO!$M$15="","",MODULO!$M$15)</f>
        <v/>
      </c>
      <c r="Z2" s="702"/>
      <c r="AA2" s="702"/>
      <c r="AB2" s="702"/>
      <c r="AC2" s="702"/>
      <c r="AD2" s="702"/>
      <c r="AE2" s="702"/>
      <c r="AF2" s="702"/>
      <c r="AG2" s="702"/>
      <c r="AH2" s="702"/>
      <c r="AI2" s="702"/>
      <c r="AJ2" s="206"/>
      <c r="AK2" s="206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687" t="s">
        <v>45</v>
      </c>
      <c r="BS2" s="688"/>
      <c r="BT2" s="688"/>
      <c r="BU2" s="688"/>
      <c r="BV2" s="688"/>
      <c r="BW2" s="689"/>
      <c r="BX2" s="5"/>
      <c r="BY2" s="5"/>
      <c r="BZ2" s="5"/>
      <c r="CA2" s="5"/>
      <c r="CB2" s="5"/>
      <c r="CC2" s="5"/>
      <c r="CD2" s="5"/>
      <c r="CE2" s="5"/>
      <c r="CF2" s="5"/>
      <c r="CG2" s="5"/>
    </row>
    <row r="3" spans="1:85" ht="17.100000000000001" customHeight="1" thickBot="1">
      <c r="A3" s="12" t="s">
        <v>3</v>
      </c>
      <c r="B3" s="113">
        <f>MODULO!$M$26</f>
        <v>0</v>
      </c>
      <c r="C3" s="701" t="s">
        <v>35</v>
      </c>
      <c r="D3" s="701"/>
      <c r="E3" s="701"/>
      <c r="F3" s="701"/>
      <c r="G3" s="699"/>
      <c r="H3" s="699"/>
      <c r="I3" s="699"/>
      <c r="J3" s="699"/>
      <c r="K3" s="699"/>
      <c r="L3" s="261"/>
      <c r="M3" s="700" t="str">
        <f>IF(MODULO!$M$9="","",MODULO!$M$9)</f>
        <v/>
      </c>
      <c r="N3" s="700"/>
      <c r="O3" s="700"/>
      <c r="P3" s="700"/>
      <c r="Q3" s="700"/>
      <c r="R3" s="700"/>
      <c r="S3" s="700"/>
      <c r="T3" s="700"/>
      <c r="U3" s="700"/>
      <c r="V3" s="700"/>
      <c r="W3" s="700"/>
      <c r="X3" s="700"/>
      <c r="Y3" s="700"/>
      <c r="Z3" s="700"/>
      <c r="AA3" s="114" t="s">
        <v>102</v>
      </c>
      <c r="AB3" s="705" t="str">
        <f>IF(MODULO!$M$18&lt;&gt;"",MODULO!$M$18,"")</f>
        <v/>
      </c>
      <c r="AC3" s="705"/>
      <c r="AD3" s="705"/>
      <c r="AE3" s="705"/>
      <c r="AF3" s="705"/>
      <c r="AG3" s="705"/>
      <c r="AH3" s="705"/>
      <c r="AI3" s="705"/>
      <c r="AJ3" s="206"/>
      <c r="AK3" s="206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687" t="s">
        <v>43</v>
      </c>
      <c r="BQ3" s="690"/>
      <c r="BR3" s="687" t="s">
        <v>43</v>
      </c>
      <c r="BS3" s="690"/>
      <c r="BT3" s="207" t="str">
        <f>IF(OR(MODULO!$M$33="HETTICH Sensys",MODULO!$M$33="HETTICH Sensys PROFILO STRETTO"),"VERO","FALSO")</f>
        <v>FALSO</v>
      </c>
      <c r="BU3" s="208" t="s">
        <v>18</v>
      </c>
      <c r="BV3" s="690" t="s">
        <v>44</v>
      </c>
      <c r="BW3" s="691"/>
      <c r="BX3" s="8"/>
      <c r="BY3" s="5"/>
      <c r="BZ3" s="5"/>
      <c r="CA3" s="5"/>
      <c r="CB3" s="5"/>
      <c r="CC3" s="5"/>
      <c r="CD3" s="5"/>
      <c r="CE3" s="5"/>
      <c r="CF3" s="5"/>
      <c r="CG3" s="5"/>
    </row>
    <row r="4" spans="1:85" ht="5.0999999999999996" customHeight="1" thickBot="1">
      <c r="A4" s="12" t="s">
        <v>38</v>
      </c>
      <c r="B4" s="5"/>
      <c r="C4" s="703" t="str">
        <f>IF(MODULO!$A$69="","",MODULO!$A$69)</f>
        <v/>
      </c>
      <c r="D4" s="703"/>
      <c r="E4" s="703"/>
      <c r="F4" s="703"/>
      <c r="G4" s="251"/>
      <c r="H4" s="251"/>
      <c r="I4" s="251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</row>
    <row r="5" spans="1:85" ht="15" customHeight="1" thickBot="1">
      <c r="A5" s="12" t="s">
        <v>38</v>
      </c>
      <c r="B5" s="113">
        <f>MODULO!$M$29</f>
        <v>0</v>
      </c>
      <c r="C5" s="432"/>
      <c r="D5" s="432"/>
      <c r="E5" s="432"/>
      <c r="F5" s="432"/>
      <c r="G5" s="257" t="str">
        <f>IF(OR(A56&gt;0,B56&gt;0),"!!","")</f>
        <v/>
      </c>
      <c r="H5" s="704" t="str">
        <f>IF(OR(A56&gt;0,B56&gt;0),"👁","")</f>
        <v/>
      </c>
      <c r="I5" s="704"/>
      <c r="J5" s="706" t="str">
        <f>IF(OR(A56&gt;0,B56&gt;0),"SQUADRETTE LATO ESTERNO !!","")</f>
        <v/>
      </c>
      <c r="K5" s="706"/>
      <c r="L5" s="706"/>
      <c r="M5" s="706"/>
      <c r="N5" s="706"/>
      <c r="O5" s="706"/>
      <c r="P5" s="706"/>
      <c r="Q5" s="706"/>
      <c r="R5" s="706"/>
      <c r="S5" s="706"/>
      <c r="T5" s="706"/>
      <c r="U5" s="706"/>
      <c r="V5" s="706"/>
      <c r="W5" s="706"/>
      <c r="X5" s="706"/>
      <c r="Y5" s="498" t="str">
        <f>IF(OR(MODULO!$P$37&lt;&gt;"",MODULO!$M$37="SI"),"DARE SUPPORTI PER CERNIERE","")</f>
        <v/>
      </c>
      <c r="Z5" s="498"/>
      <c r="AA5" s="498"/>
      <c r="AB5" s="498"/>
      <c r="AC5" s="498"/>
      <c r="AD5" s="498"/>
      <c r="AE5" s="498"/>
      <c r="AF5" s="498"/>
      <c r="AG5" s="498"/>
      <c r="AH5" s="498"/>
      <c r="AI5" s="498"/>
      <c r="AJ5" s="5"/>
      <c r="AK5" s="5"/>
      <c r="AL5" s="5"/>
      <c r="AM5" s="5"/>
      <c r="AN5" s="209">
        <v>24</v>
      </c>
      <c r="AO5" s="209">
        <v>23</v>
      </c>
      <c r="AP5" s="209">
        <v>22</v>
      </c>
      <c r="AQ5" s="209">
        <v>21</v>
      </c>
      <c r="AR5" s="209">
        <v>20</v>
      </c>
      <c r="AS5" s="209">
        <v>19</v>
      </c>
      <c r="AT5" s="209">
        <v>18</v>
      </c>
      <c r="AU5" s="209">
        <v>17</v>
      </c>
      <c r="AV5" s="209">
        <v>16</v>
      </c>
      <c r="AW5" s="209">
        <v>15</v>
      </c>
      <c r="AX5" s="209">
        <v>14</v>
      </c>
      <c r="AY5" s="209">
        <v>13</v>
      </c>
      <c r="AZ5" s="209">
        <v>12</v>
      </c>
      <c r="BA5" s="209">
        <v>11</v>
      </c>
      <c r="BB5" s="209">
        <v>10</v>
      </c>
      <c r="BC5" s="209">
        <v>9</v>
      </c>
      <c r="BD5" s="209">
        <v>8</v>
      </c>
      <c r="BE5" s="209">
        <v>7</v>
      </c>
      <c r="BF5" s="209">
        <v>6</v>
      </c>
      <c r="BG5" s="209">
        <v>5</v>
      </c>
      <c r="BH5" s="209">
        <v>4</v>
      </c>
      <c r="BI5" s="209">
        <v>3</v>
      </c>
      <c r="BJ5" s="209">
        <v>2</v>
      </c>
      <c r="BK5" s="209">
        <v>1</v>
      </c>
      <c r="BL5" s="209">
        <v>0</v>
      </c>
      <c r="BM5" s="209">
        <v>-2</v>
      </c>
      <c r="BN5" s="209">
        <v>-3</v>
      </c>
      <c r="BO5" s="209">
        <v>-4</v>
      </c>
      <c r="BP5" s="210"/>
      <c r="BQ5" s="211"/>
      <c r="BR5" s="210"/>
      <c r="BS5" s="211"/>
      <c r="BT5" s="179"/>
      <c r="BU5" s="179"/>
      <c r="BV5" s="210"/>
      <c r="BW5" s="212"/>
      <c r="BX5" s="179"/>
      <c r="BY5" s="5"/>
      <c r="BZ5" s="5"/>
      <c r="CA5" s="5"/>
      <c r="CB5" s="5"/>
      <c r="CC5" s="5"/>
      <c r="CD5" s="5"/>
      <c r="CE5" s="5"/>
      <c r="CF5" s="5"/>
      <c r="CG5" s="5"/>
    </row>
    <row r="6" spans="1:85" ht="15" customHeight="1" thickBot="1">
      <c r="A6" s="6" t="s">
        <v>1</v>
      </c>
      <c r="B6" s="213">
        <f>MODULO!$M$38</f>
        <v>0</v>
      </c>
      <c r="D6" s="695" t="s">
        <v>3</v>
      </c>
      <c r="E6" s="696"/>
      <c r="F6" s="696"/>
      <c r="G6" s="696"/>
      <c r="H6" s="696"/>
      <c r="I6" s="696"/>
      <c r="J6" s="696"/>
      <c r="K6" s="696"/>
      <c r="L6" s="696"/>
      <c r="M6" s="696"/>
      <c r="N6" s="696"/>
      <c r="O6" s="697"/>
      <c r="P6" s="204"/>
      <c r="Q6" s="695" t="s">
        <v>1</v>
      </c>
      <c r="R6" s="696"/>
      <c r="S6" s="696"/>
      <c r="T6" s="696"/>
      <c r="U6" s="696"/>
      <c r="V6" s="696"/>
      <c r="W6" s="696"/>
      <c r="X6" s="696"/>
      <c r="Y6" s="696"/>
      <c r="Z6" s="696"/>
      <c r="AA6" s="696"/>
      <c r="AB6" s="204"/>
      <c r="AC6" s="695" t="s">
        <v>2</v>
      </c>
      <c r="AD6" s="696"/>
      <c r="AE6" s="696"/>
      <c r="AF6" s="696"/>
      <c r="AG6" s="696"/>
      <c r="AH6" s="696"/>
      <c r="AI6" s="697"/>
      <c r="AJ6" s="5"/>
      <c r="AK6" s="5"/>
      <c r="AL6" s="5"/>
      <c r="AM6" s="162" t="s">
        <v>82</v>
      </c>
      <c r="AN6" s="214" t="s">
        <v>52</v>
      </c>
      <c r="AO6" s="214" t="s">
        <v>52</v>
      </c>
      <c r="AP6" s="214" t="s">
        <v>52</v>
      </c>
      <c r="AQ6" s="214" t="s">
        <v>52</v>
      </c>
      <c r="AR6" s="214" t="s">
        <v>52</v>
      </c>
      <c r="AS6" s="214" t="s">
        <v>52</v>
      </c>
      <c r="AT6" s="313">
        <v>9091215</v>
      </c>
      <c r="AU6" s="313">
        <v>9091215</v>
      </c>
      <c r="AV6" s="313">
        <v>9091215</v>
      </c>
      <c r="AW6" s="313">
        <v>9091215</v>
      </c>
      <c r="AX6" s="313">
        <v>9091215</v>
      </c>
      <c r="AY6" s="318">
        <v>9091215</v>
      </c>
      <c r="AZ6" s="318">
        <v>9091215</v>
      </c>
      <c r="BA6" s="318">
        <v>9091215</v>
      </c>
      <c r="BB6" s="333">
        <v>9091215</v>
      </c>
      <c r="BC6" s="333">
        <v>9091215</v>
      </c>
      <c r="BD6" s="319">
        <v>9091215</v>
      </c>
      <c r="BE6" s="319">
        <v>9091215</v>
      </c>
      <c r="BF6" s="320">
        <v>9091216</v>
      </c>
      <c r="BG6" s="320">
        <v>9091216</v>
      </c>
      <c r="BH6" s="320">
        <v>9091216</v>
      </c>
      <c r="BI6" s="320">
        <v>9091216</v>
      </c>
      <c r="BJ6" s="322">
        <v>9091216</v>
      </c>
      <c r="BK6" s="322">
        <v>9091216</v>
      </c>
      <c r="BL6" s="322">
        <v>9091216</v>
      </c>
      <c r="BM6" s="321">
        <v>9091217</v>
      </c>
      <c r="BN6" s="321">
        <v>9091217</v>
      </c>
      <c r="BO6" s="321">
        <v>9091217</v>
      </c>
      <c r="BP6" s="215"/>
      <c r="BQ6" s="216"/>
      <c r="BR6" s="215"/>
      <c r="BS6" s="217" t="s">
        <v>107</v>
      </c>
      <c r="BT6" s="179"/>
      <c r="BU6" s="179"/>
      <c r="BV6" s="215"/>
      <c r="BW6" s="692" t="s">
        <v>42</v>
      </c>
      <c r="BX6" s="179"/>
      <c r="BY6" s="588"/>
      <c r="BZ6" s="5"/>
      <c r="CA6" s="5"/>
      <c r="CB6" s="5"/>
      <c r="CC6" s="5"/>
      <c r="CD6" s="5"/>
      <c r="CE6" s="5"/>
      <c r="CF6" s="5"/>
      <c r="CG6" s="5"/>
    </row>
    <row r="7" spans="1:85" s="45" customFormat="1" ht="12" customHeight="1" thickBot="1">
      <c r="A7" s="7"/>
      <c r="B7" s="8"/>
      <c r="D7" s="707" t="s">
        <v>0</v>
      </c>
      <c r="E7" s="708"/>
      <c r="F7" s="709"/>
      <c r="G7" s="445" t="s">
        <v>4</v>
      </c>
      <c r="H7" s="446"/>
      <c r="I7" s="446"/>
      <c r="J7" s="446"/>
      <c r="K7" s="447"/>
      <c r="L7" s="445" t="s">
        <v>5</v>
      </c>
      <c r="M7" s="446"/>
      <c r="N7" s="446"/>
      <c r="O7" s="447"/>
      <c r="P7" s="275"/>
      <c r="Q7" s="707" t="s">
        <v>0</v>
      </c>
      <c r="R7" s="708"/>
      <c r="S7" s="709"/>
      <c r="T7" s="586"/>
      <c r="U7" s="586"/>
      <c r="V7" s="586"/>
      <c r="W7" s="586"/>
      <c r="X7" s="586"/>
      <c r="Y7" s="586" t="s">
        <v>5</v>
      </c>
      <c r="Z7" s="586"/>
      <c r="AA7" s="586"/>
      <c r="AB7" s="200" t="s">
        <v>47</v>
      </c>
      <c r="AC7" s="698" t="s">
        <v>0</v>
      </c>
      <c r="AD7" s="698"/>
      <c r="AE7" s="698"/>
      <c r="AF7" s="586" t="s">
        <v>4</v>
      </c>
      <c r="AG7" s="586"/>
      <c r="AH7" s="586"/>
      <c r="AI7" s="586"/>
      <c r="AJ7" s="5"/>
      <c r="AK7" s="206"/>
      <c r="AL7" s="5"/>
      <c r="AM7" s="26" t="s">
        <v>310</v>
      </c>
      <c r="AN7" s="206"/>
      <c r="AO7" s="206"/>
      <c r="AP7" s="206"/>
      <c r="AQ7" s="206"/>
      <c r="AR7" s="206"/>
      <c r="AS7" s="206"/>
      <c r="AT7" s="325" t="s">
        <v>287</v>
      </c>
      <c r="AU7" s="325" t="s">
        <v>287</v>
      </c>
      <c r="AV7" s="325" t="s">
        <v>287</v>
      </c>
      <c r="AW7" s="325" t="s">
        <v>287</v>
      </c>
      <c r="AX7" s="325" t="s">
        <v>287</v>
      </c>
      <c r="AY7" s="327" t="s">
        <v>288</v>
      </c>
      <c r="AZ7" s="327" t="s">
        <v>288</v>
      </c>
      <c r="BA7" s="327" t="s">
        <v>288</v>
      </c>
      <c r="BB7" s="334" t="s">
        <v>289</v>
      </c>
      <c r="BC7" s="334" t="s">
        <v>289</v>
      </c>
      <c r="BD7" s="329" t="s">
        <v>290</v>
      </c>
      <c r="BE7" s="329" t="s">
        <v>290</v>
      </c>
      <c r="BF7" s="330" t="s">
        <v>287</v>
      </c>
      <c r="BG7" s="330" t="s">
        <v>287</v>
      </c>
      <c r="BH7" s="330" t="s">
        <v>287</v>
      </c>
      <c r="BI7" s="330" t="s">
        <v>287</v>
      </c>
      <c r="BJ7" s="331" t="s">
        <v>288</v>
      </c>
      <c r="BK7" s="331" t="s">
        <v>288</v>
      </c>
      <c r="BL7" s="331" t="s">
        <v>288</v>
      </c>
      <c r="BM7" s="332" t="s">
        <v>288</v>
      </c>
      <c r="BN7" s="332" t="s">
        <v>288</v>
      </c>
      <c r="BO7" s="332" t="s">
        <v>288</v>
      </c>
      <c r="BP7" s="218" t="s">
        <v>106</v>
      </c>
      <c r="BQ7" s="217" t="s">
        <v>82</v>
      </c>
      <c r="BR7" s="218" t="s">
        <v>106</v>
      </c>
      <c r="BS7" s="217" t="s">
        <v>73</v>
      </c>
      <c r="BT7" s="694"/>
      <c r="BU7" s="179"/>
      <c r="BV7" s="218" t="s">
        <v>106</v>
      </c>
      <c r="BW7" s="693"/>
      <c r="BX7" s="694"/>
      <c r="BY7" s="588"/>
      <c r="BZ7" s="5"/>
      <c r="CA7" s="5"/>
      <c r="CB7" s="5"/>
      <c r="CC7" s="5"/>
      <c r="CD7" s="5"/>
      <c r="CE7" s="5"/>
      <c r="CF7" s="5"/>
      <c r="CG7" s="5"/>
    </row>
    <row r="8" spans="1:85" ht="12" customHeight="1" thickBot="1">
      <c r="A8" s="9" t="s">
        <v>0</v>
      </c>
      <c r="B8" s="219">
        <f>MODULO!$B$49</f>
        <v>0</v>
      </c>
      <c r="C8" s="671" t="s">
        <v>8</v>
      </c>
      <c r="D8" s="596">
        <f>Q8*2</f>
        <v>0</v>
      </c>
      <c r="E8" s="597"/>
      <c r="F8" s="597"/>
      <c r="G8" s="607" t="str">
        <f>IF($B$8&gt;0,$B$3,"")</f>
        <v/>
      </c>
      <c r="H8" s="608"/>
      <c r="I8" s="608"/>
      <c r="J8" s="608"/>
      <c r="K8" s="609"/>
      <c r="L8" s="668">
        <f>IF(L11&lt;&gt;"",B9-22,B9)</f>
        <v>0</v>
      </c>
      <c r="M8" s="669"/>
      <c r="N8" s="669"/>
      <c r="O8" s="600" t="s">
        <v>13</v>
      </c>
      <c r="P8" s="205"/>
      <c r="Q8" s="668">
        <f>B8</f>
        <v>0</v>
      </c>
      <c r="R8" s="669"/>
      <c r="S8" s="600"/>
      <c r="T8" s="608" t="str">
        <f>IF(B8&gt;0,$B$6,IF(B8=0,""))</f>
        <v/>
      </c>
      <c r="U8" s="608"/>
      <c r="V8" s="608"/>
      <c r="W8" s="608"/>
      <c r="X8" s="608"/>
      <c r="Y8" s="660" t="str">
        <f>IF(OR($G8="art. AX24"),$L8-13,IF(OR($G8="art. PR20",$G8="art. PR30"),$L8-6,IF(OR($G8="art. 1933"),$L8-33,IF($G8="art. 1934",$L8-32,IF($G8="art. 4004",$L8-10,IF(OR($G8="art. AN008"),$L8-4,IF(OR($G8="art. 3301"),$L8-5,IF(OR($G8="art. 2020"),$L8,""))))))))</f>
        <v/>
      </c>
      <c r="Z8" s="604" t="s">
        <v>81</v>
      </c>
      <c r="AA8" s="676" t="str">
        <f>IF(OR($G8="art. AX24"),$L10-13,IF(OR($G8="art. PR20",$G8="art. PR30"),$L10-6,IF(OR($G8="art. 1933"),$L10-33,IF($G8="art. 1934",$L10-31,IF($G8="art. 4004",$L10-10,IF(OR($G8="art. AN008"),$L10-4,IF(OR($G8="art. 3301"),$L10-5,IF(OR($G8="art. 2020"),$L10,""))))))))</f>
        <v/>
      </c>
      <c r="AB8" s="648" t="str">
        <f>IF(OR(MODULO!$T$49&lt;=-6,MODULO!$T$49&gt;=25),MODULO!$T$49,IF(AND(OR(AL8=23,AL8=24),AF8="HETTICH"),"K8,5",IF(AND($AF8="HETTICH",DATI!H3&gt;0),"",IF(AND($AF8="HETTICH",DATI!H8&gt;0),"",IF(AND($AF8="HETTICH",$B$5="1933   BIANCO PRIMER"),"",IF(AND($AF8="HETTICH",$B$5="1933 ALLUMINIO ANODIZZATO"),"",IF(AND($AF8="HETTICH"),"K6",IF(AND($AF8="SALICE"),"K4",IF(AND($AF8="BLUM"),"K5",IF(AND($AF8="GRASS"),"K5",IF(AND($AF8=""),"","")))))))))))</f>
        <v/>
      </c>
      <c r="AC8" s="668" t="str">
        <f>IF(MODULO!$I$49&gt;0,MODULO!$I$49,"")</f>
        <v/>
      </c>
      <c r="AD8" s="669"/>
      <c r="AE8" s="600"/>
      <c r="AF8" s="637" t="str">
        <f>IF(AND($AF9="NO FORI"),"",IF(AND($B8&gt;0,$BT$3="VERO"),$BU$3,IF(AND($B8&gt;0,$BT$22="VERO"),$BU$22,IF(AND($B8&gt;0,$BT$23="VERO"),$BU$23,IF(AND($B8&gt;0,$BT$24="VERO"),$BU$24,IF(AND($B8&gt;0,$BS$25="VERO"),$BU$25,IF(AND($B8&gt;0,$BS$27="VERO"),$BU$25,IF(AND($B8&gt;0,$BS$28="VERO"),$BU$28,IF(AND($B8&gt;0,$BS$30="VERO"),$BU$28,"")))))))))</f>
        <v/>
      </c>
      <c r="AG8" s="638"/>
      <c r="AH8" s="638"/>
      <c r="AI8" s="639"/>
      <c r="AJ8" s="206"/>
      <c r="AK8" s="206"/>
      <c r="AL8" s="636">
        <f>MODULO!$T$49</f>
        <v>0</v>
      </c>
      <c r="AM8" s="162"/>
      <c r="AN8" s="214" t="s">
        <v>52</v>
      </c>
      <c r="AO8" s="214" t="s">
        <v>52</v>
      </c>
      <c r="AP8" s="214" t="s">
        <v>52</v>
      </c>
      <c r="AQ8" s="214" t="s">
        <v>52</v>
      </c>
      <c r="AR8" s="214" t="s">
        <v>52</v>
      </c>
      <c r="AS8" s="214" t="s">
        <v>52</v>
      </c>
      <c r="AT8" s="214" t="s">
        <v>52</v>
      </c>
      <c r="AU8" s="214" t="s">
        <v>52</v>
      </c>
      <c r="AV8" s="214" t="s">
        <v>52</v>
      </c>
      <c r="AW8" s="214" t="s">
        <v>52</v>
      </c>
      <c r="AX8" s="214" t="s">
        <v>52</v>
      </c>
      <c r="AY8" s="214" t="s">
        <v>52</v>
      </c>
      <c r="AZ8" s="214" t="s">
        <v>52</v>
      </c>
      <c r="BA8" s="214" t="s">
        <v>52</v>
      </c>
      <c r="BB8" s="214" t="s">
        <v>52</v>
      </c>
      <c r="BC8" s="214" t="s">
        <v>52</v>
      </c>
      <c r="BD8" s="214" t="s">
        <v>52</v>
      </c>
      <c r="BE8" s="214" t="s">
        <v>52</v>
      </c>
      <c r="BF8" s="214" t="s">
        <v>52</v>
      </c>
      <c r="BG8" s="214" t="s">
        <v>52</v>
      </c>
      <c r="BH8" s="214" t="s">
        <v>52</v>
      </c>
      <c r="BI8" s="214" t="s">
        <v>52</v>
      </c>
      <c r="BJ8" s="214" t="s">
        <v>52</v>
      </c>
      <c r="BK8" s="214" t="s">
        <v>52</v>
      </c>
      <c r="BL8" s="214" t="s">
        <v>52</v>
      </c>
      <c r="BM8" s="214" t="s">
        <v>52</v>
      </c>
      <c r="BN8" s="214" t="s">
        <v>52</v>
      </c>
      <c r="BO8" s="214" t="s">
        <v>52</v>
      </c>
      <c r="BP8" s="215"/>
      <c r="BQ8" s="220"/>
      <c r="BR8" s="215"/>
      <c r="BS8" s="220"/>
      <c r="BT8" s="694"/>
      <c r="BU8" s="5"/>
      <c r="BV8" s="215"/>
      <c r="BW8" s="220"/>
      <c r="BX8" s="694"/>
      <c r="BY8" s="588"/>
      <c r="BZ8" s="5"/>
      <c r="CA8" s="5"/>
      <c r="CB8" s="5"/>
      <c r="CC8" s="5"/>
      <c r="CD8" s="5"/>
      <c r="CE8" s="5"/>
      <c r="CF8" s="5"/>
      <c r="CG8" s="5"/>
    </row>
    <row r="9" spans="1:85" ht="12" customHeight="1" thickBot="1">
      <c r="A9" s="9" t="s">
        <v>13</v>
      </c>
      <c r="B9" s="219">
        <f>MODULO!$D$49</f>
        <v>0</v>
      </c>
      <c r="C9" s="671"/>
      <c r="D9" s="598"/>
      <c r="E9" s="599"/>
      <c r="F9" s="599"/>
      <c r="G9" s="610"/>
      <c r="H9" s="611"/>
      <c r="I9" s="611"/>
      <c r="J9" s="611"/>
      <c r="K9" s="612"/>
      <c r="L9" s="497" t="str">
        <f>IF(AND(MODULO!$AX$4="M",MODULO!$BB$21="LARGHEZZA"),L8,IF(AND(MODULO!$AX$33="M",MODULO!$BB$21="LARGHEZZA"),L8,IF(AND(MODULO!$AZ$23="M",MODULO!$BB$21="ALTEZZA"),L8,"")))</f>
        <v/>
      </c>
      <c r="M9" s="498"/>
      <c r="N9" s="498"/>
      <c r="O9" s="601"/>
      <c r="P9" s="1"/>
      <c r="Q9" s="670"/>
      <c r="R9" s="671"/>
      <c r="S9" s="672"/>
      <c r="T9" s="611"/>
      <c r="U9" s="611"/>
      <c r="V9" s="611"/>
      <c r="W9" s="611"/>
      <c r="X9" s="611"/>
      <c r="Y9" s="661"/>
      <c r="Z9" s="605"/>
      <c r="AA9" s="677"/>
      <c r="AB9" s="649"/>
      <c r="AC9" s="645"/>
      <c r="AD9" s="646"/>
      <c r="AE9" s="601"/>
      <c r="AF9" s="641" t="str">
        <f>IF(AND(MODULO!$B$49&gt;0,MODULO!$I$49=0,MODULO!$R$49=0),"NO FORI","")</f>
        <v/>
      </c>
      <c r="AG9" s="642"/>
      <c r="AH9" s="642"/>
      <c r="AI9" s="643"/>
      <c r="AJ9" s="206" t="str">
        <f>IF(AND(MODULO!$M$35="NERO OSSIDIANA",AJ11=9094000),SUBSTITUTE(AJ11,"9094000","9090967"),IF(AND(MODULO!$M$35="NERO OSSIDIANA",AJ11=9094010),SUBSTITUTE(AJ11,"9094010","9091762"),IF(AND(MODULO!$M$35="NERO OSSIDIANA",AJ11=9094290),SUBSTITUTE(AJ11,"9094290","9091756"),IF(AND(MODULO!$M$35="NERO OSSIDIANA",$AJ11=9090260),SUBSTITUTE(AJ11,"9090260","9090967"),IF(AND(MODULO!$M$35="NERO OSSIDIANA",$AJ11=9090270),SUBSTITUTE(AJ11,"9090270","9091755"),IF(AND(MODULO!$M$35="NERO OSSIDIANA",$AJ11=9090280),SUBSTITUTE(AJ11,"9090280","9091756"),IF(AND(MODULO!$M$35="NERO OSSIDIANA",$AJ11=9072524),SUBSTITUTE(AJ11,"9072524","9091744"),IF(AND(MODULO!$M$35="NERO OSSIDIANA",$AJ11=9072525),SUBSTITUTE(AJ11,"9072525","9091225"),IF(AND(MODULO!$M$35="NERO OSSIDIANA",$AJ11=9072526),SUBSTITUTE(AJ11,"9072526","9091226"),IF(AND(MODULO!$M$35="NERO OSSIDIANA",$AJ11=9091215),SUBSTITUTE(AJ11,"9091215","9091224"),IF(AND(MODULO!$M$35="NERO OSSIDIANA",$AJ11=9091216),SUBSTITUTE(AJ11,"9091216","9091225"),IF(AND(MODULO!$M$35="NERO OSSIDIANA",$AJ11=9091217),SUBSTITUTE(AJ11,"9091217","9091226"),$AJ11))))))))))))</f>
        <v/>
      </c>
      <c r="AK9" s="206" t="str">
        <f>IF(AND(AF8="HETTICH",AK11="HB5+HADB3"),SUBSTITUTE(AK11,"HB5+HADB3","HADB3"),"")</f>
        <v/>
      </c>
      <c r="AL9" s="636"/>
      <c r="AM9" s="26"/>
      <c r="AN9" s="206"/>
      <c r="AO9" s="206"/>
      <c r="AP9" s="206"/>
      <c r="AQ9" s="206"/>
      <c r="AR9" s="206"/>
      <c r="AS9" s="206"/>
      <c r="AT9" s="206"/>
      <c r="AU9" s="206"/>
      <c r="AV9" s="206"/>
      <c r="AW9" s="206"/>
      <c r="AX9" s="206"/>
      <c r="AY9" s="206"/>
      <c r="AZ9" s="206"/>
      <c r="BA9" s="206"/>
      <c r="BB9" s="206"/>
      <c r="BC9" s="206"/>
      <c r="BD9" s="206"/>
      <c r="BE9" s="206"/>
      <c r="BF9" s="206"/>
      <c r="BG9" s="206"/>
      <c r="BH9" s="206"/>
      <c r="BI9" s="206"/>
      <c r="BJ9" s="206"/>
      <c r="BK9" s="206"/>
      <c r="BL9" s="206"/>
      <c r="BM9" s="206"/>
      <c r="BN9" s="206"/>
      <c r="BO9" s="206"/>
      <c r="BP9" s="221">
        <v>17</v>
      </c>
      <c r="BQ9" s="673" t="s">
        <v>53</v>
      </c>
      <c r="BR9" s="221">
        <v>20</v>
      </c>
      <c r="BS9" s="673" t="s">
        <v>53</v>
      </c>
      <c r="BT9" s="206"/>
      <c r="BU9" s="214" t="s">
        <v>15</v>
      </c>
      <c r="BV9" s="222">
        <v>18</v>
      </c>
      <c r="BW9" s="673" t="s">
        <v>59</v>
      </c>
      <c r="BX9" s="206"/>
      <c r="BY9" s="588"/>
      <c r="BZ9" s="5"/>
      <c r="CA9" s="5"/>
      <c r="CB9" s="5"/>
      <c r="CC9" s="5"/>
      <c r="CD9" s="5"/>
      <c r="CE9" s="5"/>
      <c r="CF9" s="5"/>
      <c r="CG9" s="5"/>
    </row>
    <row r="10" spans="1:85" ht="12" customHeight="1" thickBot="1">
      <c r="A10" s="9" t="s">
        <v>14</v>
      </c>
      <c r="B10" s="219">
        <f>MODULO!$M$49</f>
        <v>0</v>
      </c>
      <c r="C10" s="671"/>
      <c r="D10" s="598">
        <f>D8</f>
        <v>0</v>
      </c>
      <c r="E10" s="599"/>
      <c r="F10" s="599"/>
      <c r="G10" s="610" t="str">
        <f>IF($B$8&gt;0,$B$5,"")</f>
        <v/>
      </c>
      <c r="H10" s="611"/>
      <c r="I10" s="611"/>
      <c r="J10" s="611"/>
      <c r="K10" s="612"/>
      <c r="L10" s="494">
        <f>IF(L9&lt;&gt;"",B10-22,B10)</f>
        <v>0</v>
      </c>
      <c r="M10" s="495"/>
      <c r="N10" s="495"/>
      <c r="O10" s="683"/>
      <c r="P10" s="1"/>
      <c r="Q10" s="670"/>
      <c r="R10" s="671"/>
      <c r="S10" s="672"/>
      <c r="T10" s="611"/>
      <c r="U10" s="611"/>
      <c r="V10" s="611"/>
      <c r="W10" s="611"/>
      <c r="X10" s="611"/>
      <c r="Y10" s="661"/>
      <c r="Z10" s="605"/>
      <c r="AA10" s="677"/>
      <c r="AB10" s="649"/>
      <c r="AC10" s="494" t="str">
        <f>IF(MODULO!$R$49&gt;0,MODULO!$R$49,"")</f>
        <v/>
      </c>
      <c r="AD10" s="495"/>
      <c r="AE10" s="496"/>
      <c r="AF10" s="632" t="str">
        <f>AJ9</f>
        <v/>
      </c>
      <c r="AG10" s="633"/>
      <c r="AH10" s="633"/>
      <c r="AI10" s="634"/>
      <c r="AJ10" s="223" t="str">
        <f>IF(AF8="HETTICH",INDEX($AM$38:$BO$70,MATCH(G8,$AM$38:$AM$70,0),MATCH(MODULO!$T$49,CARTELLINO!$AM$38:$BO$38,0)),"")</f>
        <v/>
      </c>
      <c r="AK10" s="206" t="str">
        <f>IF(AK12="DS20N","DS20SFN",IF(AK12="DS20NN","DS20SFNN",IF(OR(AK12="DS30N",AK12="DS30NN"),"DS30SF",IF(AND(MODULO!$M$35="NERO OSSIDIANA",AF8="HETTICH",AK11="HB0"),SUBSTITUTE(AK11,"HB0","HBN0"),IF(AND(MODULO!$M$35="NERO OSSIDIANA",AF8="HETTICH",AK11="HB3"),SUBSTITUTE(AK11,"HB3","HBN3"),IF(AND(MODULO!$M$35="NERO OSSIDIANA",AF8="HETTICH",AK11="HB5"),SUBSTITUTE(AK11,"HB5","HBN5"),IF(AND(MODULO!$M$35="NERO OSSIDIANA",AF8="HETTICH",AK11="HB5+HADB3"),SUBSTITUTE(AK11,"HB5+HADB3","HBN5"),IF(AND(MODULO!$M$35="NICHELATE",AF8="HETTICH",AK11="HB5+HADB3"),SUBSTITUTE(AK11,"HB5+HADB3","HB5"),AK11))))))))</f>
        <v/>
      </c>
      <c r="AL10" s="636"/>
      <c r="AM10" s="162" t="s">
        <v>107</v>
      </c>
      <c r="AN10" s="214" t="s">
        <v>52</v>
      </c>
      <c r="AO10" s="214" t="s">
        <v>52</v>
      </c>
      <c r="AP10" s="214" t="s">
        <v>52</v>
      </c>
      <c r="AQ10" s="313">
        <v>9091215</v>
      </c>
      <c r="AR10" s="313">
        <v>9091215</v>
      </c>
      <c r="AS10" s="313">
        <v>9091215</v>
      </c>
      <c r="AT10" s="313">
        <v>9091215</v>
      </c>
      <c r="AU10" s="313">
        <v>9091215</v>
      </c>
      <c r="AV10" s="318">
        <v>9091215</v>
      </c>
      <c r="AW10" s="318">
        <v>9091215</v>
      </c>
      <c r="AX10" s="318">
        <v>9091215</v>
      </c>
      <c r="AY10" s="333">
        <v>9091215</v>
      </c>
      <c r="AZ10" s="333">
        <v>9091215</v>
      </c>
      <c r="BA10" s="319">
        <v>9091215</v>
      </c>
      <c r="BB10" s="319">
        <v>9091215</v>
      </c>
      <c r="BC10" s="320">
        <v>9091216</v>
      </c>
      <c r="BD10" s="320">
        <v>9091216</v>
      </c>
      <c r="BE10" s="320">
        <v>9091216</v>
      </c>
      <c r="BF10" s="320">
        <v>9091216</v>
      </c>
      <c r="BG10" s="322">
        <v>9091216</v>
      </c>
      <c r="BH10" s="322">
        <v>9091216</v>
      </c>
      <c r="BI10" s="322">
        <v>9091216</v>
      </c>
      <c r="BJ10" s="323">
        <v>9091216</v>
      </c>
      <c r="BK10" s="323">
        <v>9091216</v>
      </c>
      <c r="BL10" s="359">
        <v>9091216</v>
      </c>
      <c r="BM10" s="321">
        <v>9091217</v>
      </c>
      <c r="BN10" s="321">
        <v>9091217</v>
      </c>
      <c r="BO10" s="321">
        <v>9091217</v>
      </c>
      <c r="BP10" s="215"/>
      <c r="BQ10" s="674"/>
      <c r="BR10" s="215"/>
      <c r="BS10" s="674"/>
      <c r="BT10" s="5"/>
      <c r="BU10" s="5"/>
      <c r="BV10" s="222"/>
      <c r="BW10" s="674"/>
      <c r="BX10" s="5"/>
      <c r="BY10" s="588"/>
      <c r="BZ10" s="5"/>
      <c r="CA10" s="5"/>
      <c r="CB10" s="5"/>
      <c r="CC10" s="5"/>
      <c r="CD10" s="5"/>
      <c r="CE10" s="5"/>
      <c r="CF10" s="5"/>
      <c r="CG10" s="5"/>
    </row>
    <row r="11" spans="1:85" ht="12" customHeight="1" thickBot="1">
      <c r="A11" s="5"/>
      <c r="B11" s="10"/>
      <c r="C11" s="671"/>
      <c r="D11" s="602"/>
      <c r="E11" s="603"/>
      <c r="F11" s="603"/>
      <c r="G11" s="613"/>
      <c r="H11" s="614"/>
      <c r="I11" s="614"/>
      <c r="J11" s="614"/>
      <c r="K11" s="615"/>
      <c r="L11" s="497" t="str">
        <f>IF(AND(MODULO!$AX$4="M",MODULO!$BB$21="ALTEZZA"),L10,IF(AND(MODULO!$AX$33="M",MODULO!$BB$21="ALTEZZA"),L10,IF(AND(MODULO!$AZ$23="M",MODULO!$BB$21="LARGHEZZA"),L10,"")))</f>
        <v/>
      </c>
      <c r="M11" s="498"/>
      <c r="N11" s="498"/>
      <c r="O11" s="499"/>
      <c r="P11" s="2"/>
      <c r="Q11" s="497"/>
      <c r="R11" s="498"/>
      <c r="S11" s="499"/>
      <c r="T11" s="614"/>
      <c r="U11" s="614"/>
      <c r="V11" s="614"/>
      <c r="W11" s="614"/>
      <c r="X11" s="614"/>
      <c r="Y11" s="662"/>
      <c r="Z11" s="606"/>
      <c r="AA11" s="678"/>
      <c r="AB11" s="650"/>
      <c r="AC11" s="645"/>
      <c r="AD11" s="646"/>
      <c r="AE11" s="601"/>
      <c r="AF11" s="610" t="str">
        <f>IF(AF10&lt;&gt;"PRED.",AK11,"")</f>
        <v/>
      </c>
      <c r="AG11" s="611"/>
      <c r="AH11" s="611"/>
      <c r="AI11" s="635"/>
      <c r="AJ11" s="224" t="str">
        <f>IF(AND(AF9="NO FORI"),"",IF(AND(B8&gt;0,$AL8="ASOLE"),"FORI ASOLE",IF(B8&gt;0,IF(OR(AF8="SALICE",AF8="BLUM",AF8="GRASS",MODULO!$M$30="NO"),"PRED.",IF(AND($BR$26&gt;0),$BU$26,IF(AND($BR$27&gt;0),$BU$27,IF(AND($BR$29&gt;0),$BU$29,IF(AND($BR$30&gt;0),$BU$30,IF(AF8="HETTICH",INDEX($AM$5:$BO$37,MATCH(G8,$AM$5:$AM$37,0),MATCH(MODULO!$T$49,CARTELLINO!$AM$5:$BO$5,0)),"")))))),"")))</f>
        <v/>
      </c>
      <c r="AK11" s="224" t="str">
        <f>IF(AND(G8="art. PR20",AF8="HETTICH"),INDEX($AM$5:$BO$37,MATCH("art. PR20 BASE",$AM$5:$AM$37,0),MATCH(MODULO!$T$49,CARTELLINO!$AM$5:$BO$5,0)),IF(AND(G8="art. PR30",AF8="HETTICH"),INDEX($AM$5:$BO$37,MATCH("art. PR30 BASE",$AM$5:$AM$37,0),MATCH(MODULO!$T$49,CARTELLINO!$AM$5:$BO$5,0)),IF(AND(G8="art. 1933",AF8="HETTICH"),INDEX($AM$5:$BO$37,MATCH("art. 1933 BASE",$AM$5:$AM$37,0),MATCH(MODULO!$T$49,CARTELLINO!$AM$5:$BO$5,0)),IF(AND(G8="art. 1934",AF8="HETTICH"),INDEX($AM$5:$BO$37,MATCH("art. 1934 BASE",$AM$5:$AM$37,0),MATCH(MODULO!$T$49,CARTELLINO!$AM$5:$BO$5,0)),IF(AND(G8="art. AN008",AF8="HETTICH"),INDEX($AM$5:$BO$37,MATCH("art. AN008 BASE",$AM$5:$AM$37,0),MATCH(MODULO!$T$49,CARTELLINO!$AM$5:$BO$5,0)),IF(AND(G8="art. 3301",AF8="HETTICH"),INDEX($AM$5:$BO$37,MATCH("art. 3301 BASE",$AM$5:$AM$37,0),MATCH(MODULO!$T$49,CARTELLINO!$AM$5:$BO$5,0)),IF(AND(G8="art. AX24",AF8="HETTICH"),INDEX($AM$5:$BO$37,MATCH("art. AX24 BASE",$AM$5:$AM$37,0),MATCH(MODULO!$T$49,CARTELLINO!$AM$5:$BO$5,0)),IF(AND(G8="art. 2020",AF8="HETTICH"),INDEX($AM$5:$BO$37,MATCH("art. 2020 BASE",$AM$5:$AM$37,0),MATCH(MODULO!$T$49,CARTELLINO!$AM$5:$BO$5,0)),""))))))))</f>
        <v/>
      </c>
      <c r="AL11" s="636"/>
      <c r="AM11" s="26" t="s">
        <v>311</v>
      </c>
      <c r="AN11" s="206"/>
      <c r="AO11" s="206"/>
      <c r="AP11" s="206"/>
      <c r="AQ11" s="325" t="s">
        <v>287</v>
      </c>
      <c r="AR11" s="325" t="s">
        <v>287</v>
      </c>
      <c r="AS11" s="325" t="s">
        <v>287</v>
      </c>
      <c r="AT11" s="325" t="s">
        <v>287</v>
      </c>
      <c r="AU11" s="325" t="s">
        <v>287</v>
      </c>
      <c r="AV11" s="327" t="s">
        <v>288</v>
      </c>
      <c r="AW11" s="327" t="s">
        <v>288</v>
      </c>
      <c r="AX11" s="327" t="s">
        <v>288</v>
      </c>
      <c r="AY11" s="334" t="s">
        <v>289</v>
      </c>
      <c r="AZ11" s="334" t="s">
        <v>289</v>
      </c>
      <c r="BA11" s="329" t="s">
        <v>290</v>
      </c>
      <c r="BB11" s="329" t="s">
        <v>290</v>
      </c>
      <c r="BC11" s="330" t="s">
        <v>287</v>
      </c>
      <c r="BD11" s="330" t="s">
        <v>287</v>
      </c>
      <c r="BE11" s="330" t="s">
        <v>287</v>
      </c>
      <c r="BF11" s="330" t="s">
        <v>287</v>
      </c>
      <c r="BG11" s="331" t="s">
        <v>288</v>
      </c>
      <c r="BH11" s="331" t="s">
        <v>288</v>
      </c>
      <c r="BI11" s="331" t="s">
        <v>288</v>
      </c>
      <c r="BJ11" s="335" t="s">
        <v>289</v>
      </c>
      <c r="BK11" s="335" t="s">
        <v>289</v>
      </c>
      <c r="BL11" s="360" t="s">
        <v>290</v>
      </c>
      <c r="BM11" s="332" t="s">
        <v>289</v>
      </c>
      <c r="BN11" s="332" t="s">
        <v>289</v>
      </c>
      <c r="BO11" s="332" t="s">
        <v>289</v>
      </c>
      <c r="BP11" s="221">
        <v>14</v>
      </c>
      <c r="BQ11" s="673" t="s">
        <v>54</v>
      </c>
      <c r="BR11" s="221">
        <v>17</v>
      </c>
      <c r="BS11" s="673" t="s">
        <v>54</v>
      </c>
      <c r="BT11" s="206"/>
      <c r="BU11" s="214" t="s">
        <v>16</v>
      </c>
      <c r="BV11" s="222">
        <v>15</v>
      </c>
      <c r="BW11" s="673" t="s">
        <v>60</v>
      </c>
      <c r="BX11" s="206"/>
      <c r="BY11" s="588"/>
      <c r="BZ11" s="5"/>
      <c r="CA11" s="5"/>
      <c r="CB11" s="5"/>
      <c r="CC11" s="5"/>
      <c r="CD11" s="5"/>
      <c r="CE11" s="5"/>
      <c r="CF11" s="5"/>
      <c r="CG11" s="5"/>
    </row>
    <row r="12" spans="1:85" ht="12.9" customHeight="1" thickBot="1">
      <c r="A12" s="5"/>
      <c r="B12" s="10"/>
      <c r="C12" s="11"/>
      <c r="D12" s="617" t="str">
        <f>IF(MODULO!$AN$42&gt;0,"predisposizione :","")</f>
        <v/>
      </c>
      <c r="E12" s="618"/>
      <c r="F12" s="618"/>
      <c r="G12" s="618"/>
      <c r="H12" s="618"/>
      <c r="I12" s="618"/>
      <c r="J12" s="618"/>
      <c r="K12" s="618"/>
      <c r="L12" s="618"/>
      <c r="M12" s="618"/>
      <c r="N12" s="618"/>
      <c r="O12" s="618"/>
      <c r="P12" s="616" t="str">
        <f>IF(MODULO!AA50&gt;0,MODULO!AA50,"")</f>
        <v/>
      </c>
      <c r="Q12" s="616"/>
      <c r="R12" s="616"/>
      <c r="S12" s="616"/>
      <c r="T12" s="616"/>
      <c r="U12" s="616"/>
      <c r="V12" s="616"/>
      <c r="W12" s="616"/>
      <c r="X12" s="616"/>
      <c r="Y12" s="616"/>
      <c r="Z12" s="616"/>
      <c r="AA12" s="616"/>
      <c r="AB12" s="616"/>
      <c r="AC12" s="616"/>
      <c r="AD12" s="616"/>
      <c r="AE12" s="616"/>
      <c r="AF12" s="616"/>
      <c r="AG12" s="616"/>
      <c r="AH12" s="616"/>
      <c r="AI12" s="616"/>
      <c r="AJ12" s="226" t="str">
        <f>IFERROR(AJ11,"NO")</f>
        <v/>
      </c>
      <c r="AK12" s="206" t="str">
        <f>IF(AND(AF8="DS20",AF10="NICHELATE"),"DS20N",IF(AND(AF8="DS20",AF10="NICHELATE NERE"),"DS20NN",IF(AND(AF8="DS30",AF10="NICHELATE"),"DS30N",IF(AND(AF8="DS30",AF10="NICHELATE NERE"),"DS30NN",IF(AND(MODULO!$M$35="NERO OSSIDIANA",AF8="HETTICH",AJ10="HCSB"),SUBSTITUTE(AJ10,"HCSB","HCNSB"),IF(AND(MODULO!$M$35="NERO OSSIDIANA",AF8="HETTICH",AJ10="HCSMB"),SUBSTITUTE(AJ10,"HCSMB","HCNSMB"),IF(AND(MODULO!$M$35="NERO OSSIDIANA",AF8="HETTICH",AJ10="HCSL"),SUBSTITUTE(AJ10,"HCSL","HCNSL"),IF(AND(MODULO!$M$35="NERO OSSIDIANA",AF8="HETTICH",AJ10="HVCAB"),SUBSTITUTE(AJ10,"HVCAB","HVCNAB"),IF(AND(MODULO!$M$35="NERO OSSIDIANA",AF8="HETTICH",AJ10="HVCAMB"),SUBSTITUTE(AJ10,"HVCAMB","HCNSMB"),IF(AND(MODULO!$M$35="NERO OSSIDIANA",AF8="HETTICH",AJ10="HVCAL"),SUBSTITUTE(AJ10,"HVCAL","HCNSL"),IF(AND(MODULO!$M$35="NERO OSSIDIANA",AF8="HETTICH",AJ10="HVCLB"),SUBSTITUTE(AJ10,"HVCLB","HVCNLB"),IF(AND(MODULO!$M$35="NERO OSSIDIANA",AF8="HETTICH",AJ10="HVCLMB"),SUBSTITUTE(AJ10,"HVCLMB","HVCNLMB"),IF(AND(MODULO!$M$35="NERO OSSIDIANA",AF8="HETTICH",AJ10="HVCLL"),SUBSTITUTE(AJ10,"HVCLL","HCNLL25"),IF(AND(MODULO!$M$35="NERO OSSIDIANA",AF8="HETTICH",AJ10="HCLB25"),SUBSTITUTE(AJ10,"HCLB25","HCNLB25"),IF(AND(MODULO!$M$35="NERO OSSIDIANA",AF8="HETTICH",AJ10="HCLMB25"),SUBSTITUTE(AJ10,"HCLMB25","HCNLMB25"),IF(AND(MODULO!$M$35="NERO OSSIDIANA",AF8="HETTICH",AJ10="HCLL25"),SUBSTITUTE(AJ10,"HCLL25","HCNLL25"),AJ10))))))))))))))))</f>
        <v/>
      </c>
      <c r="AL12" s="214"/>
      <c r="AM12" s="162"/>
      <c r="AN12" s="214" t="s">
        <v>52</v>
      </c>
      <c r="AO12" s="214" t="s">
        <v>52</v>
      </c>
      <c r="AP12" s="214" t="s">
        <v>52</v>
      </c>
      <c r="AQ12" s="214" t="s">
        <v>52</v>
      </c>
      <c r="AR12" s="214" t="s">
        <v>52</v>
      </c>
      <c r="AS12" s="214" t="s">
        <v>52</v>
      </c>
      <c r="AT12" s="214" t="s">
        <v>52</v>
      </c>
      <c r="AU12" s="214" t="s">
        <v>52</v>
      </c>
      <c r="AV12" s="214" t="s">
        <v>52</v>
      </c>
      <c r="AW12" s="214" t="s">
        <v>52</v>
      </c>
      <c r="AX12" s="214" t="s">
        <v>52</v>
      </c>
      <c r="AY12" s="214" t="s">
        <v>52</v>
      </c>
      <c r="AZ12" s="214" t="s">
        <v>52</v>
      </c>
      <c r="BA12" s="214" t="s">
        <v>52</v>
      </c>
      <c r="BB12" s="214" t="s">
        <v>52</v>
      </c>
      <c r="BC12" s="214" t="s">
        <v>52</v>
      </c>
      <c r="BD12" s="214" t="s">
        <v>52</v>
      </c>
      <c r="BE12" s="214" t="s">
        <v>52</v>
      </c>
      <c r="BF12" s="214" t="s">
        <v>52</v>
      </c>
      <c r="BG12" s="214" t="s">
        <v>52</v>
      </c>
      <c r="BH12" s="214" t="s">
        <v>52</v>
      </c>
      <c r="BI12" s="214" t="s">
        <v>52</v>
      </c>
      <c r="BJ12" s="214" t="s">
        <v>52</v>
      </c>
      <c r="BK12" s="214" t="s">
        <v>52</v>
      </c>
      <c r="BL12" s="214" t="s">
        <v>52</v>
      </c>
      <c r="BM12" s="214" t="s">
        <v>52</v>
      </c>
      <c r="BN12" s="214" t="s">
        <v>52</v>
      </c>
      <c r="BO12" s="214" t="s">
        <v>52</v>
      </c>
      <c r="BP12" s="215"/>
      <c r="BQ12" s="674"/>
      <c r="BR12" s="215"/>
      <c r="BS12" s="674"/>
      <c r="BT12" s="5"/>
      <c r="BU12" s="5"/>
      <c r="BV12" s="222"/>
      <c r="BW12" s="674"/>
      <c r="BX12" s="5"/>
      <c r="BY12" s="588"/>
      <c r="BZ12" s="5"/>
      <c r="CA12" s="5"/>
      <c r="CB12" s="5"/>
      <c r="CC12" s="5"/>
      <c r="CD12" s="5"/>
      <c r="CE12" s="5"/>
      <c r="CF12" s="5"/>
      <c r="CG12" s="5"/>
    </row>
    <row r="13" spans="1:85" ht="12" customHeight="1" thickBot="1">
      <c r="A13" s="9" t="s">
        <v>0</v>
      </c>
      <c r="B13" s="219">
        <f>MODULO!$B$53</f>
        <v>0</v>
      </c>
      <c r="C13" s="671" t="s">
        <v>10</v>
      </c>
      <c r="D13" s="596">
        <f>Q13*2</f>
        <v>0</v>
      </c>
      <c r="E13" s="597"/>
      <c r="F13" s="597"/>
      <c r="G13" s="607" t="str">
        <f>IF($B$13&gt;0,$B$3,"")</f>
        <v/>
      </c>
      <c r="H13" s="608"/>
      <c r="I13" s="608"/>
      <c r="J13" s="608"/>
      <c r="K13" s="609"/>
      <c r="L13" s="668">
        <f>IF(L16&lt;&gt;"",B14-22,B14)</f>
        <v>0</v>
      </c>
      <c r="M13" s="669"/>
      <c r="N13" s="669"/>
      <c r="O13" s="600" t="s">
        <v>13</v>
      </c>
      <c r="P13" s="205"/>
      <c r="Q13" s="668">
        <f>B13</f>
        <v>0</v>
      </c>
      <c r="R13" s="669"/>
      <c r="S13" s="600"/>
      <c r="T13" s="608" t="str">
        <f>IF(B13&gt;0,$B$6,IF(B13=0,""))</f>
        <v/>
      </c>
      <c r="U13" s="608"/>
      <c r="V13" s="608"/>
      <c r="W13" s="608"/>
      <c r="X13" s="608"/>
      <c r="Y13" s="660" t="str">
        <f>IF(OR($G8="art. AX24"),$L13-13,IF(OR($G13="art. PR20",$G13="art. PR30"),$L13-6,IF(OR($G13="art. 1933"),$L13-33,IF($G13="art. 1934",$L13-32,IF($G13="art. 4004",$L13-10,IF(OR($G13="art. AN008"),$L13-4,IF(OR($G13="art. 3301"),$L13-5,IF(OR($G13="art. 2020"),$L13,""))))))))</f>
        <v/>
      </c>
      <c r="Z13" s="604" t="s">
        <v>81</v>
      </c>
      <c r="AA13" s="676" t="str">
        <f>IF(OR($G8="art. AX24"),$L15-13,IF(OR($G13="art. PR20",$G13="art. PR30"),$L15-6,IF(OR($G13="art. 1933"),$L15-33,IF($G13="art. 1934",$L15-31,IF($G13="art. 4004",$L15-10,IF(OR($G13="art. AN008"),$L15-4,IF(OR($G13="art. 3301"),$L15-5,IF(OR($G13="art. 2020"),$L15,""))))))))</f>
        <v/>
      </c>
      <c r="AB13" s="648" t="str">
        <f>IF(OR(MODULO!$T$53&lt;=-6,MODULO!$T$53&gt;=25),MODULO!$T$53,IF(AND(OR(AL13=23,AL13=24),AF13="HETTICH"),"K8,5",IF(AND($AF13="HETTICH",DATI!H3&gt;0),"",IF(AND($AF13="HETTICH",DATI!H8&gt;0),"",IF(AND($AF13="HETTICH",$B$5="1933   BIANCO PRIMER"),"",IF(AND($AF13="HETTICH",$B$5="1933 ALLUMINIO ANODIZZATO"),"",IF(AND($AF13="HETTICH"),"K6",IF(AND($AF13="SALICE"),"K4",IF(AND($AF13="BLUM"),"K5",IF(AND($AF13="GRASS"),"K5",IF(AND($AF13=""),"","")))))))))))</f>
        <v/>
      </c>
      <c r="AC13" s="668" t="str">
        <f>IF(MODULO!$I$53&gt;0,MODULO!$I$53,"")</f>
        <v/>
      </c>
      <c r="AD13" s="669"/>
      <c r="AE13" s="600"/>
      <c r="AF13" s="637" t="str">
        <f>IF(AND($AF14="NO FORI"),"",IF(AND($B13&gt;0,$BT$3="VERO"),$BU$3,IF(AND($B13&gt;0,$BT$22="VERO"),$BU$22,IF(AND($B13&gt;0,$BT$23="VERO"),$BU$23,IF(AND($B13&gt;0,$BT$24="VERO"),$BU$24,IF(AND($B13&gt;0,$BS$25="VERO"),$BU$25,IF(AND($B13&gt;0,$BS$27="VERO"),$BU$25,IF(AND($B13&gt;0,$BS$28="VERO"),$BU$28,IF(AND($B13&gt;0,$BS$30="VERO"),$BU$28,"")))))))))</f>
        <v/>
      </c>
      <c r="AG13" s="638"/>
      <c r="AH13" s="638"/>
      <c r="AI13" s="639"/>
      <c r="AJ13" s="206"/>
      <c r="AK13" s="206"/>
      <c r="AL13" s="636">
        <f>MODULO!$T$53</f>
        <v>0</v>
      </c>
      <c r="AM13" s="26"/>
      <c r="AN13" s="206"/>
      <c r="AO13" s="206"/>
      <c r="AP13" s="206"/>
      <c r="AQ13" s="206"/>
      <c r="AR13" s="206"/>
      <c r="AS13" s="206"/>
      <c r="AT13" s="206"/>
      <c r="AU13" s="206"/>
      <c r="AV13" s="206"/>
      <c r="AW13" s="206"/>
      <c r="AX13" s="206"/>
      <c r="AY13" s="206"/>
      <c r="AZ13" s="206"/>
      <c r="BA13" s="206"/>
      <c r="BB13" s="206"/>
      <c r="BC13" s="206"/>
      <c r="BD13" s="206"/>
      <c r="BE13" s="206"/>
      <c r="BF13" s="206"/>
      <c r="BG13" s="206"/>
      <c r="BH13" s="206"/>
      <c r="BI13" s="206"/>
      <c r="BJ13" s="206"/>
      <c r="BK13" s="206"/>
      <c r="BL13" s="206"/>
      <c r="BM13" s="206"/>
      <c r="BN13" s="206"/>
      <c r="BO13" s="206"/>
      <c r="BP13" s="221">
        <v>12</v>
      </c>
      <c r="BQ13" s="673" t="s">
        <v>55</v>
      </c>
      <c r="BR13" s="221">
        <v>15</v>
      </c>
      <c r="BS13" s="673" t="s">
        <v>55</v>
      </c>
      <c r="BT13" s="206"/>
      <c r="BU13" s="214" t="s">
        <v>17</v>
      </c>
      <c r="BV13" s="222">
        <v>13</v>
      </c>
      <c r="BW13" s="673" t="s">
        <v>61</v>
      </c>
      <c r="BX13" s="206"/>
      <c r="BY13" s="588"/>
      <c r="BZ13" s="5"/>
      <c r="CA13" s="5"/>
      <c r="CB13" s="5"/>
      <c r="CC13" s="5"/>
      <c r="CD13" s="5"/>
      <c r="CE13" s="5"/>
      <c r="CF13" s="5"/>
      <c r="CG13" s="5"/>
    </row>
    <row r="14" spans="1:85" ht="12" customHeight="1" thickBot="1">
      <c r="A14" s="9" t="s">
        <v>13</v>
      </c>
      <c r="B14" s="219">
        <f>MODULO!$D$53</f>
        <v>0</v>
      </c>
      <c r="C14" s="671"/>
      <c r="D14" s="598"/>
      <c r="E14" s="599"/>
      <c r="F14" s="599"/>
      <c r="G14" s="610"/>
      <c r="H14" s="611"/>
      <c r="I14" s="611"/>
      <c r="J14" s="611"/>
      <c r="K14" s="612"/>
      <c r="L14" s="497" t="str">
        <f>IF(AND(MODULO!$BK$4="M",MODULO!$BO$21="LARGHEZZA"),L13,IF(AND(MODULO!$BK$33="M",MODULO!$BO$21="LARGHEZZA"),L13,IF(AND(MODULO!$BM$23="M",MODULO!$BO$21="ALTEZZA"),L13,"")))</f>
        <v/>
      </c>
      <c r="M14" s="498"/>
      <c r="N14" s="498"/>
      <c r="O14" s="601"/>
      <c r="P14" s="1"/>
      <c r="Q14" s="670"/>
      <c r="R14" s="671"/>
      <c r="S14" s="672"/>
      <c r="T14" s="611"/>
      <c r="U14" s="611"/>
      <c r="V14" s="611"/>
      <c r="W14" s="611"/>
      <c r="X14" s="611"/>
      <c r="Y14" s="661"/>
      <c r="Z14" s="605"/>
      <c r="AA14" s="677"/>
      <c r="AB14" s="649"/>
      <c r="AC14" s="645"/>
      <c r="AD14" s="646"/>
      <c r="AE14" s="601"/>
      <c r="AF14" s="641" t="str">
        <f>IF(AND(MODULO!$B$53&gt;0,MODULO!$I$53=0,MODULO!$R$53=0),"NO FORI","")</f>
        <v/>
      </c>
      <c r="AG14" s="642"/>
      <c r="AH14" s="642"/>
      <c r="AI14" s="643"/>
      <c r="AJ14" s="206" t="str">
        <f>IF(AND(MODULO!$M$35="NERO OSSIDIANA",AJ16=9094000),SUBSTITUTE(AJ16,"9094000","9090967"),IF(AND(MODULO!$M$35="NERO OSSIDIANA",AJ16=9094010),SUBSTITUTE(AJ16,"9094010","9091762"),IF(AND(MODULO!$M$35="NERO OSSIDIANA",AJ16=9094290),SUBSTITUTE(AJ16,"9094290","9091756"),IF(AND(MODULO!$M$35="NERO OSSIDIANA",$AJ16=9090260),SUBSTITUTE(AJ16,"9090260","9090967"),IF(AND(MODULO!$M$35="NERO OSSIDIANA",$AJ16=9090270),SUBSTITUTE(AJ16,"9090270","9091755"),IF(AND(MODULO!$M$35="NERO OSSIDIANA",$AJ16=9090280),SUBSTITUTE(AJ16,"9090280","9091756"),IF(AND(MODULO!$M$35="NERO OSSIDIANA",$AJ16=9072524),SUBSTITUTE(AJ16,"9072524","9091744"),IF(AND(MODULO!$M$35="NERO OSSIDIANA",$AJ16=9072525),SUBSTITUTE(AJ16,"9072525","9091225"),IF(AND(MODULO!$M$35="NERO OSSIDIANA",$AJ16=9072526),SUBSTITUTE(AJ16,"9072526","9091226"),IF(AND(MODULO!$M$35="NERO OSSIDIANA",$AJ16=9091215),SUBSTITUTE(AJ16,"9091215","9091224"),IF(AND(MODULO!$M$35="NERO OSSIDIANA",$AJ16=9091216),SUBSTITUTE(AJ16,"9091216","9091225"),IF(AND(MODULO!$M$35="NERO OSSIDIANA",$AJ16=9091217),SUBSTITUTE(AJ16,"9091217","9091226"),$AJ16))))))))))))</f>
        <v/>
      </c>
      <c r="AK14" s="206" t="str">
        <f>IF(AND(AF13="HETTICH",AK16="HB5+HADB3"),SUBSTITUTE(AK16,"HB5+HADB3","HADB3"),"")</f>
        <v/>
      </c>
      <c r="AL14" s="636"/>
      <c r="AM14" s="162" t="s">
        <v>73</v>
      </c>
      <c r="AN14" s="214" t="s">
        <v>52</v>
      </c>
      <c r="AO14" s="214" t="s">
        <v>52</v>
      </c>
      <c r="AP14" s="214" t="s">
        <v>52</v>
      </c>
      <c r="AQ14" s="313">
        <v>9091215</v>
      </c>
      <c r="AR14" s="313">
        <v>9091215</v>
      </c>
      <c r="AS14" s="313">
        <v>9091215</v>
      </c>
      <c r="AT14" s="313">
        <v>9091215</v>
      </c>
      <c r="AU14" s="313">
        <v>9091215</v>
      </c>
      <c r="AV14" s="318">
        <v>9091215</v>
      </c>
      <c r="AW14" s="318">
        <v>9091215</v>
      </c>
      <c r="AX14" s="318">
        <v>9091215</v>
      </c>
      <c r="AY14" s="333">
        <v>9091215</v>
      </c>
      <c r="AZ14" s="333">
        <v>9091215</v>
      </c>
      <c r="BA14" s="319">
        <v>9091215</v>
      </c>
      <c r="BB14" s="319">
        <v>9091215</v>
      </c>
      <c r="BC14" s="320">
        <v>9072525</v>
      </c>
      <c r="BD14" s="320">
        <v>9072525</v>
      </c>
      <c r="BE14" s="320">
        <v>9072525</v>
      </c>
      <c r="BF14" s="320">
        <v>9072525</v>
      </c>
      <c r="BG14" s="322">
        <v>9072525</v>
      </c>
      <c r="BH14" s="322">
        <v>9072525</v>
      </c>
      <c r="BI14" s="322">
        <v>9072525</v>
      </c>
      <c r="BJ14" s="323">
        <v>9072525</v>
      </c>
      <c r="BK14" s="323">
        <v>9072525</v>
      </c>
      <c r="BL14" s="359">
        <v>9072525</v>
      </c>
      <c r="BM14" s="321">
        <v>9072526</v>
      </c>
      <c r="BN14" s="321">
        <v>9072526</v>
      </c>
      <c r="BO14" s="321">
        <v>9072526</v>
      </c>
      <c r="BP14" s="215"/>
      <c r="BQ14" s="674"/>
      <c r="BR14" s="215"/>
      <c r="BS14" s="674"/>
      <c r="BT14" s="5"/>
      <c r="BU14" s="5"/>
      <c r="BV14" s="222"/>
      <c r="BW14" s="674"/>
      <c r="BX14" s="5"/>
      <c r="BY14" s="588"/>
      <c r="BZ14" s="5"/>
      <c r="CA14" s="5"/>
      <c r="CB14" s="5"/>
      <c r="CC14" s="5"/>
      <c r="CD14" s="5"/>
      <c r="CE14" s="5"/>
      <c r="CF14" s="5"/>
      <c r="CG14" s="5"/>
    </row>
    <row r="15" spans="1:85" ht="12" customHeight="1" thickBot="1">
      <c r="A15" s="9" t="s">
        <v>14</v>
      </c>
      <c r="B15" s="219">
        <f>MODULO!$M$53</f>
        <v>0</v>
      </c>
      <c r="C15" s="671"/>
      <c r="D15" s="598">
        <f>D13</f>
        <v>0</v>
      </c>
      <c r="E15" s="599"/>
      <c r="F15" s="599"/>
      <c r="G15" s="610" t="str">
        <f>IF($B$13&gt;0,$B$5,"")</f>
        <v/>
      </c>
      <c r="H15" s="611"/>
      <c r="I15" s="611"/>
      <c r="J15" s="611"/>
      <c r="K15" s="612"/>
      <c r="L15" s="494">
        <f>IF(L14&lt;&gt;"",B15-22,B15)</f>
        <v>0</v>
      </c>
      <c r="M15" s="495"/>
      <c r="N15" s="495"/>
      <c r="O15" s="683"/>
      <c r="P15" s="1"/>
      <c r="Q15" s="670"/>
      <c r="R15" s="671"/>
      <c r="S15" s="672"/>
      <c r="T15" s="611"/>
      <c r="U15" s="611"/>
      <c r="V15" s="611"/>
      <c r="W15" s="611"/>
      <c r="X15" s="611"/>
      <c r="Y15" s="661"/>
      <c r="Z15" s="605"/>
      <c r="AA15" s="677"/>
      <c r="AB15" s="649"/>
      <c r="AC15" s="494" t="str">
        <f>IF(MODULO!$R$53&gt;0,MODULO!$R$53,"")</f>
        <v/>
      </c>
      <c r="AD15" s="495"/>
      <c r="AE15" s="496"/>
      <c r="AF15" s="632" t="str">
        <f>AJ14</f>
        <v/>
      </c>
      <c r="AG15" s="633"/>
      <c r="AH15" s="633"/>
      <c r="AI15" s="634"/>
      <c r="AJ15" s="223" t="str">
        <f>IF(AF13="HETTICH",INDEX($AM$38:$BO$70,MATCH(G13,$AM$38:$AM$70,0),MATCH(MODULO!$T$53,CARTELLINO!$AM$38:$BO$38,0)),"")</f>
        <v/>
      </c>
      <c r="AK15" s="206" t="str">
        <f>IF(AK17="DS20N","DS20SFN",IF(AK17="DS20NN","DS20SFNN",IF(OR(AK17="DS30N",AK17="DS30NN"),"DS30SF",IF(AND(MODULO!$M$35="NERO OSSIDIANA",AF13="HETTICH",AK16="HB0"),SUBSTITUTE(AK16,"HB0","HBN0"),IF(AND(MODULO!$M$35="NERO OSSIDIANA",AF13="HETTICH",AK16="HB3"),SUBSTITUTE(AK16,"HB3","HBN3"),IF(AND(MODULO!$M$35="NERO OSSIDIANA",AF13="HETTICH",AK16="HB5"),SUBSTITUTE(AK16,"HB5","HBN5"),IF(AND(MODULO!$M$35="NERO OSSIDIANA",AF13="HETTICH",AK16="HB5+HADB3"),SUBSTITUTE(AK16,"HB5+HADB3","HBN5"),IF(AND(MODULO!$M$35="NICHELATE",AF13="HETTICH",AK16="HB5+HADB3"),SUBSTITUTE(AK16,"HB5+HADB3","HB5"),AK16))))))))</f>
        <v/>
      </c>
      <c r="AL15" s="636"/>
      <c r="AM15" s="26" t="s">
        <v>312</v>
      </c>
      <c r="AN15" s="206"/>
      <c r="AO15" s="206"/>
      <c r="AP15" s="206"/>
      <c r="AQ15" s="325" t="s">
        <v>287</v>
      </c>
      <c r="AR15" s="325" t="s">
        <v>287</v>
      </c>
      <c r="AS15" s="325" t="s">
        <v>287</v>
      </c>
      <c r="AT15" s="325" t="s">
        <v>287</v>
      </c>
      <c r="AU15" s="325" t="s">
        <v>287</v>
      </c>
      <c r="AV15" s="327" t="s">
        <v>288</v>
      </c>
      <c r="AW15" s="327" t="s">
        <v>288</v>
      </c>
      <c r="AX15" s="327" t="s">
        <v>288</v>
      </c>
      <c r="AY15" s="328" t="s">
        <v>289</v>
      </c>
      <c r="AZ15" s="328" t="s">
        <v>289</v>
      </c>
      <c r="BA15" s="329" t="s">
        <v>290</v>
      </c>
      <c r="BB15" s="329" t="s">
        <v>290</v>
      </c>
      <c r="BC15" s="330" t="s">
        <v>287</v>
      </c>
      <c r="BD15" s="330" t="s">
        <v>287</v>
      </c>
      <c r="BE15" s="330" t="s">
        <v>287</v>
      </c>
      <c r="BF15" s="330" t="s">
        <v>287</v>
      </c>
      <c r="BG15" s="331" t="s">
        <v>288</v>
      </c>
      <c r="BH15" s="331" t="s">
        <v>288</v>
      </c>
      <c r="BI15" s="331" t="s">
        <v>288</v>
      </c>
      <c r="BJ15" s="335" t="s">
        <v>289</v>
      </c>
      <c r="BK15" s="335" t="s">
        <v>289</v>
      </c>
      <c r="BL15" s="360" t="s">
        <v>290</v>
      </c>
      <c r="BM15" s="332" t="s">
        <v>289</v>
      </c>
      <c r="BN15" s="332" t="s">
        <v>289</v>
      </c>
      <c r="BO15" s="332" t="s">
        <v>289</v>
      </c>
      <c r="BP15" s="221">
        <v>7.5</v>
      </c>
      <c r="BQ15" s="673" t="s">
        <v>56</v>
      </c>
      <c r="BR15" s="221">
        <v>10.5</v>
      </c>
      <c r="BS15" s="673" t="s">
        <v>56</v>
      </c>
      <c r="BT15" s="206"/>
      <c r="BU15" s="214" t="s">
        <v>15</v>
      </c>
      <c r="BV15" s="222">
        <v>8.5</v>
      </c>
      <c r="BW15" s="673" t="s">
        <v>62</v>
      </c>
      <c r="BX15" s="206"/>
      <c r="BY15" s="588"/>
      <c r="BZ15" s="5"/>
      <c r="CA15" s="5"/>
      <c r="CB15" s="5"/>
      <c r="CC15" s="5"/>
      <c r="CD15" s="5"/>
      <c r="CE15" s="5"/>
      <c r="CF15" s="5"/>
      <c r="CG15" s="5"/>
    </row>
    <row r="16" spans="1:85" ht="12" customHeight="1" thickBot="1">
      <c r="A16" s="5"/>
      <c r="B16" s="5"/>
      <c r="C16" s="671"/>
      <c r="D16" s="602"/>
      <c r="E16" s="603"/>
      <c r="F16" s="603"/>
      <c r="G16" s="613"/>
      <c r="H16" s="614"/>
      <c r="I16" s="614"/>
      <c r="J16" s="614"/>
      <c r="K16" s="615"/>
      <c r="L16" s="497" t="str">
        <f>IF(AND(MODULO!$BK$4="M",MODULO!$BO$21="ALTEZZA"),L15,IF(AND(MODULO!$BK$33="M",MODULO!$BO$21="ALTEZZA"),L15,IF(AND(MODULO!$BM$23="M",MODULO!$BO$21="LARGHEZZA"),L15,"")))</f>
        <v/>
      </c>
      <c r="M16" s="498"/>
      <c r="N16" s="498"/>
      <c r="O16" s="499"/>
      <c r="P16" s="2"/>
      <c r="Q16" s="497"/>
      <c r="R16" s="498"/>
      <c r="S16" s="499"/>
      <c r="T16" s="614"/>
      <c r="U16" s="614"/>
      <c r="V16" s="614"/>
      <c r="W16" s="614"/>
      <c r="X16" s="614"/>
      <c r="Y16" s="662"/>
      <c r="Z16" s="606"/>
      <c r="AA16" s="678"/>
      <c r="AB16" s="650"/>
      <c r="AC16" s="645"/>
      <c r="AD16" s="646"/>
      <c r="AE16" s="601"/>
      <c r="AF16" s="610" t="str">
        <f>IF(AF15&lt;&gt;"PRED.",AK16,"")</f>
        <v/>
      </c>
      <c r="AG16" s="611"/>
      <c r="AH16" s="611"/>
      <c r="AI16" s="635"/>
      <c r="AJ16" s="224" t="str">
        <f>IF(AND(AF14="NO FORI"),"",IF(AND(B13&gt;0,$AL13="ASOLE"),"FORI ASOLE",IF(B13&gt;0,IF(OR(AF13="SALICE",AF13="BLUM",AF13="GRASS",MODULO!$M$30="NO"),"PRED.",IF(AND($BR$26&gt;0),$BU$26,IF(AND($BR$27&gt;0),$BU$27,IF(AND($BR$29&gt;0),$BU$29,IF(AND($BR$30&gt;0),$BU$30,IF(AF13="HETTICH",INDEX($AM$5:$BO$37,MATCH(G13,$AM$5:$AM$37,0),MATCH(MODULO!$T$53,CARTELLINO!$AM$5:$BO$5,0)),"")))))),"")))</f>
        <v/>
      </c>
      <c r="AK16" s="224" t="str">
        <f>IF(AND(G13="art. PR20",AF13="HETTICH"),INDEX($AM$5:$BO$37,MATCH("art. PR20 BASE",$AM$5:$AM$37,0),MATCH(MODULO!$T$53,CARTELLINO!$AM$5:$BO$5,0)),IF(AND(G13="art. PR30",AF13="HETTICH"),INDEX($AM$5:$BO$37,MATCH("art. PR30 BASE",$AM$5:$AM$37,0),MATCH(MODULO!$T$53,CARTELLINO!$AM$5:$BO$5,0)),IF(AND(G13="art. 1933",AF13="HETTICH"),INDEX($AM$5:$BO$37,MATCH("art. 1933 BASE",$AM$5:$AM$37,0),MATCH(MODULO!$T$53,CARTELLINO!$AM$5:$BO$5,0)),IF(AND(G13="art. 1934",AF13="HETTICH"),INDEX($AM$5:$BO$37,MATCH("art. 1934 BASE",$AM$5:$AM$37,0),MATCH(MODULO!$T$53,CARTELLINO!$AM$5:$BO$5,0)),IF(AND(G13="art. AN008",AF13="HETTICH"),INDEX($AM$5:$BO$37,MATCH("art. AN008 BASE",$AM$5:$AM$37,0),MATCH(MODULO!$T$53,CARTELLINO!$AM$5:$BO$5,0)),IF(AND(G13="art. 3301",AF13="HETTICH"),INDEX($AM$5:$BO$37,MATCH("art. 3301 BASE",$AM$5:$AM$37,0),MATCH(MODULO!$T$53,CARTELLINO!$AM$5:$BO$5,0)),IF(AND(G13="art. AX24",AF13="HETTICH"),INDEX($AM$5:$BO$37,MATCH("art. AX24 BASE",$AM$5:$AM$37,0),MATCH(MODULO!$T$53,CARTELLINO!$AM$5:$BO$5,0)),IF(AND(G13="art. 2020",AF13="HETTICH"),INDEX($AM$5:$BO$37,MATCH("art. 2020 BASE",$AM$5:$AM$37,0),MATCH(MODULO!$T$53,CARTELLINO!$AM$5:$BO$5,0)),""))))))))</f>
        <v/>
      </c>
      <c r="AL16" s="636"/>
      <c r="AM16" s="162"/>
      <c r="AN16" s="214" t="s">
        <v>52</v>
      </c>
      <c r="AO16" s="214" t="s">
        <v>52</v>
      </c>
      <c r="AP16" s="214" t="s">
        <v>52</v>
      </c>
      <c r="AQ16" s="214" t="s">
        <v>52</v>
      </c>
      <c r="AR16" s="214" t="s">
        <v>52</v>
      </c>
      <c r="AS16" s="214" t="s">
        <v>52</v>
      </c>
      <c r="AT16" s="214" t="s">
        <v>52</v>
      </c>
      <c r="AU16" s="214" t="s">
        <v>52</v>
      </c>
      <c r="AV16" s="214" t="s">
        <v>52</v>
      </c>
      <c r="AW16" s="214" t="s">
        <v>52</v>
      </c>
      <c r="AX16" s="214" t="s">
        <v>52</v>
      </c>
      <c r="AY16" s="214" t="s">
        <v>52</v>
      </c>
      <c r="AZ16" s="214" t="s">
        <v>52</v>
      </c>
      <c r="BA16" s="214" t="s">
        <v>52</v>
      </c>
      <c r="BB16" s="214" t="s">
        <v>52</v>
      </c>
      <c r="BC16" s="214" t="s">
        <v>52</v>
      </c>
      <c r="BD16" s="214" t="s">
        <v>52</v>
      </c>
      <c r="BE16" s="214" t="s">
        <v>52</v>
      </c>
      <c r="BF16" s="214" t="s">
        <v>52</v>
      </c>
      <c r="BG16" s="214" t="s">
        <v>52</v>
      </c>
      <c r="BH16" s="214" t="s">
        <v>52</v>
      </c>
      <c r="BI16" s="214" t="s">
        <v>52</v>
      </c>
      <c r="BJ16" s="214" t="s">
        <v>52</v>
      </c>
      <c r="BK16" s="214" t="s">
        <v>52</v>
      </c>
      <c r="BL16" s="214" t="s">
        <v>52</v>
      </c>
      <c r="BM16" s="214" t="s">
        <v>52</v>
      </c>
      <c r="BN16" s="214" t="s">
        <v>52</v>
      </c>
      <c r="BO16" s="214" t="s">
        <v>52</v>
      </c>
      <c r="BP16" s="215"/>
      <c r="BQ16" s="674" t="s">
        <v>15</v>
      </c>
      <c r="BR16" s="215"/>
      <c r="BS16" s="674" t="s">
        <v>15</v>
      </c>
      <c r="BT16" s="5"/>
      <c r="BU16" s="5"/>
      <c r="BV16" s="222"/>
      <c r="BW16" s="674"/>
      <c r="BX16" s="5"/>
      <c r="BY16" s="588"/>
      <c r="BZ16" s="5"/>
      <c r="CA16" s="5"/>
      <c r="CB16" s="5"/>
      <c r="CC16" s="5"/>
      <c r="CD16" s="5"/>
      <c r="CE16" s="5"/>
      <c r="CF16" s="5"/>
      <c r="CG16" s="5"/>
    </row>
    <row r="17" spans="1:85" ht="12.9" customHeight="1" thickBot="1">
      <c r="A17" s="5"/>
      <c r="B17" s="5"/>
      <c r="C17" s="11"/>
      <c r="D17" s="617" t="str">
        <f>IF(MODULO!$AN$46&gt;0,"predisposizione :","")</f>
        <v/>
      </c>
      <c r="E17" s="618"/>
      <c r="F17" s="618"/>
      <c r="G17" s="618"/>
      <c r="H17" s="618"/>
      <c r="I17" s="618"/>
      <c r="J17" s="618"/>
      <c r="K17" s="618"/>
      <c r="L17" s="618"/>
      <c r="M17" s="618"/>
      <c r="N17" s="618"/>
      <c r="O17" s="618"/>
      <c r="P17" s="616" t="str">
        <f>IF(MODULO!AA54&gt;0,MODULO!AA54,"")</f>
        <v/>
      </c>
      <c r="Q17" s="616"/>
      <c r="R17" s="616"/>
      <c r="S17" s="616"/>
      <c r="T17" s="616"/>
      <c r="U17" s="616"/>
      <c r="V17" s="616"/>
      <c r="W17" s="616"/>
      <c r="X17" s="616"/>
      <c r="Y17" s="616"/>
      <c r="Z17" s="616"/>
      <c r="AA17" s="616"/>
      <c r="AB17" s="616"/>
      <c r="AC17" s="616"/>
      <c r="AD17" s="616"/>
      <c r="AE17" s="616"/>
      <c r="AF17" s="616"/>
      <c r="AG17" s="616"/>
      <c r="AH17" s="616"/>
      <c r="AI17" s="616"/>
      <c r="AJ17" s="226" t="str">
        <f>IFERROR(AJ16,"NO")</f>
        <v/>
      </c>
      <c r="AK17" s="206" t="str">
        <f>IF(AND(AF13="DS20",AF15="NICHELATE"),"DS20N",IF(AND(AF13="DS20",AF15="NICHELATE NERE"),"DS20NN",IF(AND(AF13="DS30",AF15="NICHELATE"),"DS30N",IF(AND(AF13="DS30",AF15="NICHELATE NERE"),"DS30NN",IF(AND(MODULO!$M$35="NERO OSSIDIANA",AF13="HETTICH",AJ15="HCSB"),SUBSTITUTE(AJ15,"HCSB","HCNSB"),IF(AND(MODULO!$M$35="NERO OSSIDIANA",AF13="HETTICH",AJ15="HCSMB"),SUBSTITUTE(AJ15,"HCSMB","HCNSMB"),IF(AND(MODULO!$M$35="NERO OSSIDIANA",AF13="HETTICH",AJ15="HCSL"),SUBSTITUTE(AJ15,"HCSL","HCNSL"),IF(AND(MODULO!$M$35="NERO OSSIDIANA",AF13="HETTICH",AJ15="HVCAB"),SUBSTITUTE(AJ15,"HVCAB","HVCNAB"),IF(AND(MODULO!$M$35="NERO OSSIDIANA",AF13="HETTICH",AJ15="HVCAMB"),SUBSTITUTE(AJ15,"HVCAMB","HCNSMB"),IF(AND(MODULO!$M$35="NERO OSSIDIANA",AF13="HETTICH",AJ15="HVCAL"),SUBSTITUTE(AJ15,"HVCAL","HCNSL"),IF(AND(MODULO!$M$35="NERO OSSIDIANA",AF13="HETTICH",AJ15="HVCLB"),SUBSTITUTE(AJ15,"HVCLB","HVCNLB"),IF(AND(MODULO!$M$35="NERO OSSIDIANA",AF13="HETTICH",AJ15="HVCLMB"),SUBSTITUTE(AJ15,"HVCLMB","HVCNLMB"),IF(AND(MODULO!$M$35="NERO OSSIDIANA",AF13="HETTICH",AJ15="HVCLL"),SUBSTITUTE(AJ15,"HVCLL","HCNLL25"),IF(AND(MODULO!$M$35="NERO OSSIDIANA",AF13="HETTICH",AJ15="HCLB25"),SUBSTITUTE(AJ15,"HCLB25","HCNLB25"),IF(AND(MODULO!$M$35="NERO OSSIDIANA",AF13="HETTICH",AJ15="HCLMB25"),SUBSTITUTE(AJ15,"HCLMB25","HCNLMB25"),IF(AND(MODULO!$M$35="NERO OSSIDIANA",AF13="HETTICH",AJ15="HCLL25"),SUBSTITUTE(AJ15,"HCLL25","HCNLL25"),AJ15))))))))))))))))</f>
        <v/>
      </c>
      <c r="AL17" s="5"/>
      <c r="AM17" s="26"/>
      <c r="AN17" s="206"/>
      <c r="AO17" s="206"/>
      <c r="AP17" s="206"/>
      <c r="AQ17" s="206"/>
      <c r="AR17" s="206"/>
      <c r="AS17" s="206"/>
      <c r="AT17" s="206"/>
      <c r="AU17" s="206"/>
      <c r="AV17" s="206"/>
      <c r="AW17" s="206"/>
      <c r="AX17" s="206"/>
      <c r="AY17" s="206"/>
      <c r="AZ17" s="206"/>
      <c r="BA17" s="206"/>
      <c r="BB17" s="206"/>
      <c r="BC17" s="206"/>
      <c r="BD17" s="206"/>
      <c r="BE17" s="206"/>
      <c r="BF17" s="206"/>
      <c r="BG17" s="206"/>
      <c r="BH17" s="206"/>
      <c r="BI17" s="206"/>
      <c r="BJ17" s="206"/>
      <c r="BK17" s="206"/>
      <c r="BL17" s="206"/>
      <c r="BM17" s="206"/>
      <c r="BN17" s="206"/>
      <c r="BO17" s="206"/>
      <c r="BP17" s="221">
        <v>4.5</v>
      </c>
      <c r="BQ17" s="673" t="s">
        <v>57</v>
      </c>
      <c r="BR17" s="221">
        <v>7.5</v>
      </c>
      <c r="BS17" s="673" t="s">
        <v>57</v>
      </c>
      <c r="BT17" s="206"/>
      <c r="BU17" s="214" t="s">
        <v>16</v>
      </c>
      <c r="BV17" s="222">
        <v>5.5</v>
      </c>
      <c r="BW17" s="673" t="s">
        <v>63</v>
      </c>
      <c r="BX17" s="206"/>
      <c r="BY17" s="5"/>
      <c r="BZ17" s="5"/>
      <c r="CA17" s="5"/>
      <c r="CB17" s="5"/>
      <c r="CC17" s="5"/>
      <c r="CD17" s="5"/>
      <c r="CE17" s="5"/>
      <c r="CF17" s="5"/>
      <c r="CG17" s="5"/>
    </row>
    <row r="18" spans="1:85" ht="12" customHeight="1" thickBot="1">
      <c r="A18" s="9" t="s">
        <v>0</v>
      </c>
      <c r="B18" s="219">
        <f>MODULO!$B$57</f>
        <v>0</v>
      </c>
      <c r="C18" s="671" t="s">
        <v>11</v>
      </c>
      <c r="D18" s="596">
        <f>Q18*2</f>
        <v>0</v>
      </c>
      <c r="E18" s="597"/>
      <c r="F18" s="597"/>
      <c r="G18" s="607" t="str">
        <f>IF($B$18&gt;0,$B$3,"")</f>
        <v/>
      </c>
      <c r="H18" s="608"/>
      <c r="I18" s="608"/>
      <c r="J18" s="608"/>
      <c r="K18" s="609"/>
      <c r="L18" s="668">
        <f>IF(L21&lt;&gt;"",B19-22,B19)</f>
        <v>0</v>
      </c>
      <c r="M18" s="669"/>
      <c r="N18" s="669"/>
      <c r="O18" s="600" t="s">
        <v>13</v>
      </c>
      <c r="P18" s="205"/>
      <c r="Q18" s="668">
        <f>B18</f>
        <v>0</v>
      </c>
      <c r="R18" s="669"/>
      <c r="S18" s="600"/>
      <c r="T18" s="608" t="str">
        <f>IF(B18&gt;0,$B$6,IF(B18=0,""))</f>
        <v/>
      </c>
      <c r="U18" s="608"/>
      <c r="V18" s="608"/>
      <c r="W18" s="608"/>
      <c r="X18" s="608"/>
      <c r="Y18" s="660" t="str">
        <f>IF(OR($G8="art. AX24"),$L18-13,IF(OR($G18="art. PR20",$G18="art. PR30"),$L18-6,IF(OR($G18="art. 1933"),$L18-33,IF($G18="art. 1934",$L18-32,IF($G18="art. 4004",$L18-10,IF(OR($G18="art. AN008"),$L18-4,IF(OR($G18="art. 3301"),$L18-5,IF(OR($G18="art. 2020"),$L18,""))))))))</f>
        <v/>
      </c>
      <c r="Z18" s="604" t="s">
        <v>81</v>
      </c>
      <c r="AA18" s="676" t="str">
        <f>IF(OR($G8="art. AX24"),$L20-13,IF(OR($G18="art. PR20",$G18="art. PR30"),$L20-6,IF(OR($G18="art. 1933"),$L20-33,IF($G18="art. 1934",$L20-31,IF($G18="art. 4004",$L20-10,IF(OR($G18="art. AN008"),$L20-4,IF(OR($G18="art. 3301"),$L20-5,IF(OR($G18="art. 2020"),$L20,""))))))))</f>
        <v/>
      </c>
      <c r="AB18" s="648" t="str">
        <f>IF(OR(MODULO!$T$57&lt;=-6,MODULO!$T$57&gt;=25),MODULO!$T$57,IF(AND(OR(AL18=23,AL18=24),AF18="HETTICH"),"K8,5",IF(AND($AF18="HETTICH",DATI!H3&gt;0),"",IF(AND($AF18="HETTICH",DATI!H8&gt;0),"",IF(AND($AF18="HETTICH",$B$5="1933   BIANCO PRIMER"),"",IF(AND($AF18="HETTICH",$B$5="1933 ALLUMINIO ANODIZZATO"),"",IF(AND($AF18="HETTICH"),"K6",IF(AND($AF18="SALICE"),"K4",IF(AND($AF18="BLUM"),"K5",IF(AND($AF18="GRASS"),"K5",IF(AND($AF18=""),"","")))))))))))</f>
        <v/>
      </c>
      <c r="AC18" s="668" t="str">
        <f>IF(MODULO!$I$57&gt;0,MODULO!$I$57,"")</f>
        <v/>
      </c>
      <c r="AD18" s="669"/>
      <c r="AE18" s="600"/>
      <c r="AF18" s="637" t="str">
        <f>IF(AND($AF19="NO FORI"),"",IF(AND($B18&gt;0,$BT$3="VERO"),$BU$3,IF(AND($B18&gt;0,$BT$22="VERO"),$BU$22,IF(AND($B18&gt;0,$BT$23="VERO"),$BU$23,IF(AND($B18&gt;0,$BT$24="VERO"),$BU$24,IF(AND($B18&gt;0,$BS$25="VERO"),$BU$25,IF(AND($B18&gt;0,$BS$27="VERO"),$BU$25,IF(AND($B18&gt;0,$BS$28="VERO"),$BU$28,IF(AND($B18&gt;0,$BS$30="VERO"),$BU$28,"")))))))))</f>
        <v/>
      </c>
      <c r="AG18" s="638"/>
      <c r="AH18" s="638"/>
      <c r="AI18" s="639"/>
      <c r="AJ18" s="206"/>
      <c r="AK18" s="206"/>
      <c r="AL18" s="636">
        <f>MODULO!$T$57</f>
        <v>0</v>
      </c>
      <c r="AM18" s="162" t="s">
        <v>182</v>
      </c>
      <c r="AN18" s="214" t="s">
        <v>52</v>
      </c>
      <c r="AO18" s="214" t="s">
        <v>52</v>
      </c>
      <c r="AP18" s="317">
        <v>9090260</v>
      </c>
      <c r="AQ18" s="317">
        <v>9090260</v>
      </c>
      <c r="AR18" s="317">
        <v>9090260</v>
      </c>
      <c r="AS18" s="317">
        <v>9090260</v>
      </c>
      <c r="AT18" s="317">
        <v>9090260</v>
      </c>
      <c r="AU18" s="317">
        <v>9090260</v>
      </c>
      <c r="AV18" s="316">
        <v>9090260</v>
      </c>
      <c r="AW18" s="316">
        <v>9090260</v>
      </c>
      <c r="AX18" s="316">
        <v>9090260</v>
      </c>
      <c r="AY18" s="312">
        <v>9090260</v>
      </c>
      <c r="AZ18" s="312">
        <v>9090260</v>
      </c>
      <c r="BA18" s="312">
        <v>9090260</v>
      </c>
      <c r="BB18" s="312">
        <v>9090260</v>
      </c>
      <c r="BC18" s="310">
        <v>9094010</v>
      </c>
      <c r="BD18" s="310">
        <v>9094010</v>
      </c>
      <c r="BE18" s="310">
        <v>9094010</v>
      </c>
      <c r="BF18" s="315">
        <v>9094010</v>
      </c>
      <c r="BG18" s="315">
        <v>9094010</v>
      </c>
      <c r="BH18" s="315">
        <v>9094010</v>
      </c>
      <c r="BI18" s="314">
        <v>9094010</v>
      </c>
      <c r="BJ18" s="314">
        <v>9094010</v>
      </c>
      <c r="BK18" s="314">
        <v>9094010</v>
      </c>
      <c r="BL18" s="314">
        <v>9094010</v>
      </c>
      <c r="BM18" s="311">
        <v>9094290</v>
      </c>
      <c r="BN18" s="311">
        <v>9094290</v>
      </c>
      <c r="BO18" s="311">
        <v>9094290</v>
      </c>
      <c r="BP18" s="215"/>
      <c r="BQ18" s="674"/>
      <c r="BR18" s="215"/>
      <c r="BS18" s="674"/>
      <c r="BT18" s="5"/>
      <c r="BU18" s="5"/>
      <c r="BV18" s="222"/>
      <c r="BW18" s="674"/>
      <c r="BX18" s="5"/>
      <c r="BY18" s="5"/>
      <c r="BZ18" s="5"/>
      <c r="CA18" s="5"/>
      <c r="CB18" s="5"/>
      <c r="CC18" s="5"/>
      <c r="CD18" s="5"/>
      <c r="CE18" s="5"/>
      <c r="CF18" s="5"/>
      <c r="CG18" s="5"/>
    </row>
    <row r="19" spans="1:85" ht="12" customHeight="1" thickBot="1">
      <c r="A19" s="9" t="s">
        <v>13</v>
      </c>
      <c r="B19" s="219">
        <f>MODULO!$D$57</f>
        <v>0</v>
      </c>
      <c r="C19" s="671"/>
      <c r="D19" s="598"/>
      <c r="E19" s="599"/>
      <c r="F19" s="599"/>
      <c r="G19" s="610"/>
      <c r="H19" s="611"/>
      <c r="I19" s="611"/>
      <c r="J19" s="611"/>
      <c r="K19" s="612"/>
      <c r="L19" s="497" t="str">
        <f>IF(AND(MODULO!$BX$4="M",MODULO!$CB$21="LARGHEZZA"),L18,IF(AND(MODULO!$BX$33="M",MODULO!$CB$21="LARGHEZZA"),L18,IF(AND(MODULO!$BZ$23="M",MODULO!$CB$21="ALTEZZA"),L18,"")))</f>
        <v/>
      </c>
      <c r="M19" s="498"/>
      <c r="N19" s="498"/>
      <c r="O19" s="601"/>
      <c r="P19" s="1"/>
      <c r="Q19" s="670"/>
      <c r="R19" s="671"/>
      <c r="S19" s="672"/>
      <c r="T19" s="611"/>
      <c r="U19" s="611"/>
      <c r="V19" s="611"/>
      <c r="W19" s="611"/>
      <c r="X19" s="611"/>
      <c r="Y19" s="661"/>
      <c r="Z19" s="605"/>
      <c r="AA19" s="677"/>
      <c r="AB19" s="649"/>
      <c r="AC19" s="645"/>
      <c r="AD19" s="646"/>
      <c r="AE19" s="601"/>
      <c r="AF19" s="641" t="str">
        <f>IF(AND(MODULO!$B$57&gt;0,MODULO!$I$57=0,MODULO!$R$57=0),"NO FORI","")</f>
        <v/>
      </c>
      <c r="AG19" s="642"/>
      <c r="AH19" s="642"/>
      <c r="AI19" s="643"/>
      <c r="AJ19" s="206" t="str">
        <f>IF(AND(MODULO!$M$35="NERO OSSIDIANA",AJ21=9094000),SUBSTITUTE(AJ21,"9094000","9090967"),IF(AND(MODULO!$M$35="NERO OSSIDIANA",AJ21=9094010),SUBSTITUTE(AJ21,"9094010","9091762"),IF(AND(MODULO!$M$35="NERO OSSIDIANA",AJ21=9094290),SUBSTITUTE(AJ21,"9094290","9091756"),IF(AND(MODULO!$M$35="NERO OSSIDIANA",$AJ21=9090260),SUBSTITUTE(AJ21,"9090260","9090967"),IF(AND(MODULO!$M$35="NERO OSSIDIANA",$AJ21=9090270),SUBSTITUTE(AJ21,"9090270","9091755"),IF(AND(MODULO!$M$35="NERO OSSIDIANA",$AJ21=9090280),SUBSTITUTE(AJ21,"9090280","9091756"),IF(AND(MODULO!$M$35="NERO OSSIDIANA",$AJ21=9072524),SUBSTITUTE(AJ21,"9072524","9091744"),IF(AND(MODULO!$M$35="NERO OSSIDIANA",$AJ21=9072525),SUBSTITUTE(AJ21,"9072525","9091225"),IF(AND(MODULO!$M$35="NERO OSSIDIANA",$AJ21=9072526),SUBSTITUTE(AJ21,"9072526","9091226"),IF(AND(MODULO!$M$35="NERO OSSIDIANA",$AJ21=9091215),SUBSTITUTE(AJ21,"9091215","9091224"),IF(AND(MODULO!$M$35="NERO OSSIDIANA",$AJ21=9091216),SUBSTITUTE(AJ21,"9091216","9091225"),IF(AND(MODULO!$M$35="NERO OSSIDIANA",$AJ21=9091217),SUBSTITUTE(AJ21,"9091217","9091226"),$AJ21))))))))))))</f>
        <v/>
      </c>
      <c r="AK19" s="206" t="str">
        <f>IF(AND(AF18="HETTICH",AK21="HB5+HADB3"),SUBSTITUTE(AK21,"HB5+HADB3","HADB3"),"")</f>
        <v/>
      </c>
      <c r="AL19" s="636"/>
      <c r="AM19" s="26" t="s">
        <v>313</v>
      </c>
      <c r="AN19" s="206"/>
      <c r="AO19" s="206"/>
      <c r="AP19" s="336" t="s">
        <v>287</v>
      </c>
      <c r="AQ19" s="336" t="s">
        <v>287</v>
      </c>
      <c r="AR19" s="336" t="s">
        <v>287</v>
      </c>
      <c r="AS19" s="336" t="s">
        <v>287</v>
      </c>
      <c r="AT19" s="336" t="s">
        <v>287</v>
      </c>
      <c r="AU19" s="336" t="s">
        <v>287</v>
      </c>
      <c r="AV19" s="337" t="s">
        <v>288</v>
      </c>
      <c r="AW19" s="337" t="s">
        <v>288</v>
      </c>
      <c r="AX19" s="337" t="s">
        <v>288</v>
      </c>
      <c r="AY19" s="338" t="s">
        <v>289</v>
      </c>
      <c r="AZ19" s="338" t="s">
        <v>289</v>
      </c>
      <c r="BA19" s="338" t="s">
        <v>289</v>
      </c>
      <c r="BB19" s="338" t="s">
        <v>290</v>
      </c>
      <c r="BC19" s="339" t="s">
        <v>287</v>
      </c>
      <c r="BD19" s="339" t="s">
        <v>287</v>
      </c>
      <c r="BE19" s="339" t="s">
        <v>287</v>
      </c>
      <c r="BF19" s="340" t="s">
        <v>288</v>
      </c>
      <c r="BG19" s="340" t="s">
        <v>288</v>
      </c>
      <c r="BH19" s="340" t="s">
        <v>288</v>
      </c>
      <c r="BI19" s="341" t="s">
        <v>289</v>
      </c>
      <c r="BJ19" s="341" t="s">
        <v>289</v>
      </c>
      <c r="BK19" s="341" t="s">
        <v>289</v>
      </c>
      <c r="BL19" s="341" t="s">
        <v>290</v>
      </c>
      <c r="BM19" s="342" t="s">
        <v>289</v>
      </c>
      <c r="BN19" s="342" t="s">
        <v>289</v>
      </c>
      <c r="BO19" s="342" t="s">
        <v>289</v>
      </c>
      <c r="BP19" s="227">
        <v>-3</v>
      </c>
      <c r="BQ19" s="673" t="s">
        <v>58</v>
      </c>
      <c r="BR19" s="227">
        <v>-2</v>
      </c>
      <c r="BS19" s="673" t="s">
        <v>58</v>
      </c>
      <c r="BT19" s="206"/>
      <c r="BU19" s="214" t="s">
        <v>17</v>
      </c>
      <c r="BV19" s="227">
        <v>-3</v>
      </c>
      <c r="BW19" s="673" t="s">
        <v>64</v>
      </c>
      <c r="BX19" s="206"/>
      <c r="BY19" s="5"/>
      <c r="BZ19" s="5"/>
      <c r="CA19" s="5"/>
      <c r="CB19" s="5"/>
      <c r="CC19" s="5"/>
      <c r="CD19" s="5"/>
      <c r="CE19" s="5"/>
      <c r="CF19" s="5"/>
      <c r="CG19" s="5"/>
    </row>
    <row r="20" spans="1:85" ht="12" customHeight="1" thickBot="1">
      <c r="A20" s="9" t="s">
        <v>14</v>
      </c>
      <c r="B20" s="219">
        <f>MODULO!$M$57</f>
        <v>0</v>
      </c>
      <c r="C20" s="671"/>
      <c r="D20" s="598">
        <f>D18</f>
        <v>0</v>
      </c>
      <c r="E20" s="599"/>
      <c r="F20" s="599"/>
      <c r="G20" s="610" t="str">
        <f>IF($B$18&gt;0,$B$5,"")</f>
        <v/>
      </c>
      <c r="H20" s="611"/>
      <c r="I20" s="611"/>
      <c r="J20" s="611"/>
      <c r="K20" s="612"/>
      <c r="L20" s="494">
        <f>IF(L19&lt;&gt;"",B20-22,B20)</f>
        <v>0</v>
      </c>
      <c r="M20" s="495"/>
      <c r="N20" s="495"/>
      <c r="O20" s="683"/>
      <c r="P20" s="1"/>
      <c r="Q20" s="670"/>
      <c r="R20" s="671"/>
      <c r="S20" s="672"/>
      <c r="T20" s="611"/>
      <c r="U20" s="611"/>
      <c r="V20" s="611"/>
      <c r="W20" s="611"/>
      <c r="X20" s="611"/>
      <c r="Y20" s="661"/>
      <c r="Z20" s="605"/>
      <c r="AA20" s="677"/>
      <c r="AB20" s="649"/>
      <c r="AC20" s="494" t="str">
        <f>IF(MODULO!$R$57&gt;0,MODULO!$R$57,"")</f>
        <v/>
      </c>
      <c r="AD20" s="495"/>
      <c r="AE20" s="496"/>
      <c r="AF20" s="632" t="str">
        <f>AJ19</f>
        <v/>
      </c>
      <c r="AG20" s="633"/>
      <c r="AH20" s="633"/>
      <c r="AI20" s="634"/>
      <c r="AJ20" s="223" t="str">
        <f>IF(AF18="HETTICH",INDEX($AM$38:$BO$70,MATCH(G18,$AM$38:$AM$70,0),MATCH(MODULO!$T$57,CARTELLINO!$AM$38:$BO$38,0)),"")</f>
        <v/>
      </c>
      <c r="AK20" s="206" t="str">
        <f>IF(AK22="DS20N","DS20SFN",IF(AK22="DS20NN","DS20SFNN",IF(OR(AK22="DS30N",AK22="DS30NN"),"DS30SF",IF(AND(MODULO!$M$35="NERO OSSIDIANA",AF18="HETTICH",AK21="HB0"),SUBSTITUTE(AK21,"HB0","HBN0"),IF(AND(MODULO!$M$35="NERO OSSIDIANA",AF18="HETTICH",AK21="HB3"),SUBSTITUTE(AK21,"HB3","HBN3"),IF(AND(MODULO!$M$35="NERO OSSIDIANA",AF18="HETTICH",AK21="HB5"),SUBSTITUTE(AK21,"HB5","HBN5"),IF(AND(MODULO!$M$35="NERO OSSIDIANA",AF18="HETTICH",AK21="HB5+HADB3"),SUBSTITUTE(AK21,"HB5+HADB3","HBN5"),IF(AND(MODULO!$M$35="NICHELATE",AF18="HETTICH",AK21="HB5+HADB3"),SUBSTITUTE(AK21,"HB5+HADB3","HB5"),AK21))))))))</f>
        <v/>
      </c>
      <c r="AL20" s="636"/>
      <c r="AM20" s="162"/>
      <c r="AN20" s="214" t="s">
        <v>52</v>
      </c>
      <c r="AO20" s="214" t="s">
        <v>52</v>
      </c>
      <c r="AP20" s="214" t="s">
        <v>52</v>
      </c>
      <c r="AQ20" s="214" t="s">
        <v>52</v>
      </c>
      <c r="AR20" s="214" t="s">
        <v>52</v>
      </c>
      <c r="AS20" s="214" t="s">
        <v>52</v>
      </c>
      <c r="AT20" s="214" t="s">
        <v>52</v>
      </c>
      <c r="AU20" s="214" t="s">
        <v>52</v>
      </c>
      <c r="AV20" s="214" t="s">
        <v>52</v>
      </c>
      <c r="AW20" s="214" t="s">
        <v>52</v>
      </c>
      <c r="AX20" s="214" t="s">
        <v>52</v>
      </c>
      <c r="AY20" s="214" t="s">
        <v>52</v>
      </c>
      <c r="AZ20" s="214" t="s">
        <v>52</v>
      </c>
      <c r="BA20" s="214" t="s">
        <v>52</v>
      </c>
      <c r="BB20" s="214" t="s">
        <v>52</v>
      </c>
      <c r="BC20" s="214" t="s">
        <v>52</v>
      </c>
      <c r="BD20" s="214" t="s">
        <v>52</v>
      </c>
      <c r="BE20" s="214" t="s">
        <v>52</v>
      </c>
      <c r="BF20" s="214" t="s">
        <v>52</v>
      </c>
      <c r="BG20" s="214" t="s">
        <v>52</v>
      </c>
      <c r="BH20" s="214" t="s">
        <v>52</v>
      </c>
      <c r="BI20" s="214" t="s">
        <v>52</v>
      </c>
      <c r="BJ20" s="214" t="s">
        <v>52</v>
      </c>
      <c r="BK20" s="214" t="s">
        <v>52</v>
      </c>
      <c r="BL20" s="214" t="s">
        <v>52</v>
      </c>
      <c r="BM20" s="214" t="s">
        <v>52</v>
      </c>
      <c r="BN20" s="214" t="s">
        <v>52</v>
      </c>
      <c r="BO20" s="214" t="s">
        <v>52</v>
      </c>
      <c r="BP20" s="228"/>
      <c r="BQ20" s="674"/>
      <c r="BR20" s="229"/>
      <c r="BS20" s="674"/>
      <c r="BT20" s="5"/>
      <c r="BU20" s="5"/>
      <c r="BV20" s="230"/>
      <c r="BW20" s="674"/>
      <c r="BX20" s="5"/>
      <c r="BY20" s="5"/>
      <c r="BZ20" s="5"/>
      <c r="CA20" s="5"/>
      <c r="CB20" s="5"/>
      <c r="CC20" s="5"/>
      <c r="CD20" s="5"/>
      <c r="CE20" s="5"/>
      <c r="CF20" s="5"/>
      <c r="CG20" s="5"/>
    </row>
    <row r="21" spans="1:85" ht="12" customHeight="1" thickBot="1">
      <c r="A21" s="5"/>
      <c r="B21" s="5"/>
      <c r="C21" s="671"/>
      <c r="D21" s="602"/>
      <c r="E21" s="603"/>
      <c r="F21" s="603"/>
      <c r="G21" s="613"/>
      <c r="H21" s="614"/>
      <c r="I21" s="614"/>
      <c r="J21" s="614"/>
      <c r="K21" s="615"/>
      <c r="L21" s="497" t="str">
        <f>IF(AND(MODULO!$BX$4="M",MODULO!$CB$21="ALTEZZA"),L20,IF(AND(MODULO!$BX$33="M",MODULO!$CB$21="ALTEZZA"),L20,IF(AND(MODULO!$BZ$23="M",MODULO!$CB$21="LARGHEZZA"),L20,"")))</f>
        <v/>
      </c>
      <c r="M21" s="498"/>
      <c r="N21" s="498"/>
      <c r="O21" s="499"/>
      <c r="P21" s="2"/>
      <c r="Q21" s="497"/>
      <c r="R21" s="498"/>
      <c r="S21" s="499"/>
      <c r="T21" s="614"/>
      <c r="U21" s="614"/>
      <c r="V21" s="614"/>
      <c r="W21" s="614"/>
      <c r="X21" s="614"/>
      <c r="Y21" s="662"/>
      <c r="Z21" s="606"/>
      <c r="AA21" s="678"/>
      <c r="AB21" s="650"/>
      <c r="AC21" s="645"/>
      <c r="AD21" s="646"/>
      <c r="AE21" s="601"/>
      <c r="AF21" s="610" t="str">
        <f>IF(AF20&lt;&gt;"PRED.",AK21,"")</f>
        <v/>
      </c>
      <c r="AG21" s="611"/>
      <c r="AH21" s="611"/>
      <c r="AI21" s="635"/>
      <c r="AJ21" s="224" t="str">
        <f>IF(AND(AF19="NO FORI"),"",IF(AND(B18&gt;0,$AL18="ASOLE"),"FORI ASOLE",IF(B18&gt;0,IF(OR(AF18="SALICE",AF18="BLUM",AF18="GRASS",MODULO!$M$30="NO"),"PRED.",IF(AND($BR$26&gt;0),$BU$26,IF(AND($BR$27&gt;0),$BU$27,IF(AND($BR$29&gt;0),$BU$29,IF(AND($BR$30&gt;0),$BU$30,IF(AF18="HETTICH",INDEX($AM$5:$BO$37,MATCH(G18,$AM$5:$AM$37,0),MATCH(MODULO!$T$57,CARTELLINO!$AM$5:$BO$5,0)),"")))))),"")))</f>
        <v/>
      </c>
      <c r="AK21" s="224" t="str">
        <f>IF(AND(G18="art. PR20",AF18="HETTICH"),INDEX($AM$5:$BO$37,MATCH("art. PR20 BASE",$AM$5:$AM$37,0),MATCH(MODULO!$T$57,CARTELLINO!$AM$5:$BO$5,0)),IF(AND(G18="art. PR30",AF18="HETTICH"),INDEX($AM$5:$BO$37,MATCH("art. PR30 BASE",$AM$5:$AM$37,0),MATCH(MODULO!$T$57,CARTELLINO!$AM$5:$BO$5,0)),IF(AND(G18="art. 1933",AF18="HETTICH"),INDEX($AM$5:$BO$37,MATCH("art. 1933 BASE",$AM$5:$AM$37,0),MATCH(MODULO!$T$57,CARTELLINO!$AM$5:$BO$5,0)),IF(AND(G18="art. 1934",AF18="HETTICH"),INDEX($AM$5:$BO$37,MATCH("art. 1934 BASE",$AM$5:$AM$37,0),MATCH(MODULO!$T$57,CARTELLINO!$AM$5:$BO$5,0)),IF(AND(G18="art. AN008",AF18="HETTICH"),INDEX($AM$5:$BO$37,MATCH("art. AN008 BASE",$AM$5:$AM$37,0),MATCH(MODULO!$T$57,CARTELLINO!$AM$5:$BO$5,0)),IF(AND(G18="art. 3301",AF18="HETTICH"),INDEX($AM$5:$BO$37,MATCH("art. 3301 BASE",$AM$5:$AM$37,0),MATCH(MODULO!$T$57,CARTELLINO!$AM$5:$BO$5,0)),IF(AND(G18="art. AX24",AF18="HETTICH"),INDEX($AM$5:$BO$37,MATCH("art. AX24 BASE",$AM$5:$AM$37,0),MATCH(MODULO!$T$57,CARTELLINO!$AM$5:$BO$5,0)),IF(AND(G18="art. 2020",AF18="HETTICH"),INDEX($AM$5:$BO$37,MATCH("art. 2020 BASE",$AM$5:$AM$37,0),MATCH(MODULO!$T$57,CARTELLINO!$AM$5:$BO$5,0)),""))))))))</f>
        <v/>
      </c>
      <c r="AL21" s="636"/>
      <c r="AM21" s="26"/>
      <c r="AN21" s="206"/>
      <c r="AO21" s="206"/>
      <c r="AP21" s="206"/>
      <c r="AQ21" s="206"/>
      <c r="AR21" s="206"/>
      <c r="AS21" s="206"/>
      <c r="AT21" s="206"/>
      <c r="AU21" s="206"/>
      <c r="AV21" s="206"/>
      <c r="AW21" s="206"/>
      <c r="AX21" s="206"/>
      <c r="AY21" s="206"/>
      <c r="AZ21" s="206"/>
      <c r="BA21" s="206"/>
      <c r="BB21" s="206"/>
      <c r="BC21" s="206"/>
      <c r="BD21" s="206"/>
      <c r="BE21" s="206"/>
      <c r="BF21" s="206"/>
      <c r="BG21" s="206"/>
      <c r="BH21" s="206"/>
      <c r="BI21" s="206"/>
      <c r="BJ21" s="206"/>
      <c r="BK21" s="206"/>
      <c r="BL21" s="206"/>
      <c r="BM21" s="206"/>
      <c r="BN21" s="206"/>
      <c r="BO21" s="206"/>
      <c r="BP21" s="5"/>
      <c r="BQ21" s="5"/>
      <c r="BR21" s="5"/>
      <c r="BS21" s="5"/>
      <c r="BT21" s="675" t="b">
        <v>0</v>
      </c>
      <c r="BU21" s="675"/>
      <c r="BV21" s="5"/>
      <c r="BW21" s="5"/>
      <c r="BX21" s="206"/>
      <c r="BY21" s="5"/>
      <c r="BZ21" s="5"/>
      <c r="CA21" s="5"/>
      <c r="CB21" s="5"/>
      <c r="CC21" s="5"/>
      <c r="CD21" s="5"/>
      <c r="CE21" s="5"/>
      <c r="CF21" s="5"/>
      <c r="CG21" s="5"/>
    </row>
    <row r="22" spans="1:85" ht="12.9" customHeight="1" thickBot="1">
      <c r="A22" s="5"/>
      <c r="B22" s="5"/>
      <c r="C22" s="11"/>
      <c r="D22" s="617" t="str">
        <f>IF(MODULO!$AN$50&gt;0,"predisposizione :","")</f>
        <v/>
      </c>
      <c r="E22" s="618"/>
      <c r="F22" s="618"/>
      <c r="G22" s="618"/>
      <c r="H22" s="618"/>
      <c r="I22" s="618"/>
      <c r="J22" s="618"/>
      <c r="K22" s="618"/>
      <c r="L22" s="618"/>
      <c r="M22" s="618"/>
      <c r="N22" s="618"/>
      <c r="O22" s="618"/>
      <c r="P22" s="616" t="str">
        <f>IF(MODULO!AA58&gt;0,MODULO!AA58,"")</f>
        <v/>
      </c>
      <c r="Q22" s="616"/>
      <c r="R22" s="616"/>
      <c r="S22" s="616"/>
      <c r="T22" s="616"/>
      <c r="U22" s="616"/>
      <c r="V22" s="616"/>
      <c r="W22" s="616"/>
      <c r="X22" s="616"/>
      <c r="Y22" s="616"/>
      <c r="Z22" s="616"/>
      <c r="AA22" s="616"/>
      <c r="AB22" s="616"/>
      <c r="AC22" s="616"/>
      <c r="AD22" s="616"/>
      <c r="AE22" s="616"/>
      <c r="AF22" s="616"/>
      <c r="AG22" s="616"/>
      <c r="AH22" s="616"/>
      <c r="AI22" s="616"/>
      <c r="AJ22" s="226" t="str">
        <f>IFERROR(AJ21,"NO")</f>
        <v/>
      </c>
      <c r="AK22" s="206" t="str">
        <f>IF(AND(AF18="DS20",AF20="NICHELATE"),"DS20N",IF(AND(AF18="DS20",AF20="NICHELATE NERE"),"DS20NN",IF(AND(AF18="DS30",AF20="NICHELATE"),"DS30N",IF(AND(AF18="DS30",AF20="NICHELATE NERE"),"DS30NN",IF(AND(MODULO!$M$35="NERO OSSIDIANA",AF18="HETTICH",AJ20="HCSB"),SUBSTITUTE(AJ20,"HCSB","HCNSB"),IF(AND(MODULO!$M$35="NERO OSSIDIANA",AF18="HETTICH",AJ20="HCSMB"),SUBSTITUTE(AJ20,"HCSMB","HCNSMB"),IF(AND(MODULO!$M$35="NERO OSSIDIANA",AF18="HETTICH",AJ20="HCSL"),SUBSTITUTE(AJ20,"HCSL","HCNSL"),IF(AND(MODULO!$M$35="NERO OSSIDIANA",AF18="HETTICH",AJ20="HVCAB"),SUBSTITUTE(AJ20,"HVCAB","HVCNAB"),IF(AND(MODULO!$M$35="NERO OSSIDIANA",AF18="HETTICH",AJ20="HVCAMB"),SUBSTITUTE(AJ20,"HVCAMB","HCNSMB"),IF(AND(MODULO!$M$35="NERO OSSIDIANA",AF18="HETTICH",AJ20="HVCAL"),SUBSTITUTE(AJ20,"HVCAL","HCNSL"),IF(AND(MODULO!$M$35="NERO OSSIDIANA",AF18="HETTICH",AJ20="HVCLB"),SUBSTITUTE(AJ20,"HVCLB","HVCNLB"),IF(AND(MODULO!$M$35="NERO OSSIDIANA",AF18="HETTICH",AJ20="HVCLMB"),SUBSTITUTE(AJ20,"HVCLMB","HVCNLMB"),IF(AND(MODULO!$M$35="NERO OSSIDIANA",AF18="HETTICH",AJ20="HVCLL"),SUBSTITUTE(AJ20,"HVCLL","HCNLL25"),IF(AND(MODULO!$M$35="NERO OSSIDIANA",AF18="HETTICH",AJ20="HCLB25"),SUBSTITUTE(AJ20,"HCLB25","HCNLB25"),IF(AND(MODULO!$M$35="NERO OSSIDIANA",AF18="HETTICH",AJ20="HCLMB25"),SUBSTITUTE(AJ20,"HCLMB25","HCNLMB25"),IF(AND(MODULO!$M$35="NERO OSSIDIANA",AF18="HETTICH",AJ20="HCLL25"),SUBSTITUTE(AJ20,"HCLL25","HCNLL25"),AJ20))))))))))))))))</f>
        <v/>
      </c>
      <c r="AL22" s="5"/>
      <c r="AM22" s="162" t="s">
        <v>184</v>
      </c>
      <c r="AN22" s="214" t="s">
        <v>52</v>
      </c>
      <c r="AO22" s="214" t="s">
        <v>52</v>
      </c>
      <c r="AP22" s="317">
        <v>9090260</v>
      </c>
      <c r="AQ22" s="317">
        <v>9090260</v>
      </c>
      <c r="AR22" s="317">
        <v>9090260</v>
      </c>
      <c r="AS22" s="317">
        <v>9090260</v>
      </c>
      <c r="AT22" s="317">
        <v>9090260</v>
      </c>
      <c r="AU22" s="317">
        <v>9090260</v>
      </c>
      <c r="AV22" s="316">
        <v>9090260</v>
      </c>
      <c r="AW22" s="316">
        <v>9090260</v>
      </c>
      <c r="AX22" s="316">
        <v>9090260</v>
      </c>
      <c r="AY22" s="312">
        <v>9090260</v>
      </c>
      <c r="AZ22" s="312">
        <v>9090260</v>
      </c>
      <c r="BA22" s="312">
        <v>9090260</v>
      </c>
      <c r="BB22" s="312">
        <v>9090260</v>
      </c>
      <c r="BC22" s="310">
        <v>9094010</v>
      </c>
      <c r="BD22" s="310">
        <v>9094010</v>
      </c>
      <c r="BE22" s="310">
        <v>9094010</v>
      </c>
      <c r="BF22" s="315">
        <v>9094010</v>
      </c>
      <c r="BG22" s="315">
        <v>9094010</v>
      </c>
      <c r="BH22" s="315">
        <v>9094010</v>
      </c>
      <c r="BI22" s="314">
        <v>9094010</v>
      </c>
      <c r="BJ22" s="314">
        <v>9094010</v>
      </c>
      <c r="BK22" s="314">
        <v>9094010</v>
      </c>
      <c r="BL22" s="314">
        <v>9094010</v>
      </c>
      <c r="BM22" s="311">
        <v>9094290</v>
      </c>
      <c r="BN22" s="311">
        <v>9094290</v>
      </c>
      <c r="BO22" s="311">
        <v>9094290</v>
      </c>
      <c r="BP22" s="5"/>
      <c r="BQ22" s="5"/>
      <c r="BR22" s="5"/>
      <c r="BS22" s="5"/>
      <c r="BT22" s="231" t="str">
        <f>IF(MODULO!$M$33="SALICE","VERO","FALSO")</f>
        <v>FALSO</v>
      </c>
      <c r="BU22" s="232" t="s">
        <v>48</v>
      </c>
      <c r="BV22" s="5"/>
      <c r="BW22" s="179"/>
      <c r="BX22" s="5"/>
      <c r="BY22" s="5"/>
      <c r="BZ22" s="5"/>
      <c r="CA22" s="5"/>
      <c r="CB22" s="5"/>
      <c r="CC22" s="5"/>
      <c r="CD22" s="5"/>
      <c r="CE22" s="5"/>
      <c r="CF22" s="5"/>
      <c r="CG22" s="5"/>
    </row>
    <row r="23" spans="1:85" ht="12" customHeight="1" thickBot="1">
      <c r="A23" s="9" t="s">
        <v>0</v>
      </c>
      <c r="B23" s="219">
        <f>MODULO!$B$61</f>
        <v>0</v>
      </c>
      <c r="C23" s="671" t="s">
        <v>9</v>
      </c>
      <c r="D23" s="596">
        <f>Q23*2</f>
        <v>0</v>
      </c>
      <c r="E23" s="597"/>
      <c r="F23" s="597"/>
      <c r="G23" s="607" t="str">
        <f>IF($B$23&gt;0,$B$3,"")</f>
        <v/>
      </c>
      <c r="H23" s="608"/>
      <c r="I23" s="608"/>
      <c r="J23" s="608"/>
      <c r="K23" s="609"/>
      <c r="L23" s="668">
        <f>IF(L26&lt;&gt;"",B24-22,B24)</f>
        <v>0</v>
      </c>
      <c r="M23" s="669"/>
      <c r="N23" s="669"/>
      <c r="O23" s="600" t="s">
        <v>13</v>
      </c>
      <c r="P23" s="205"/>
      <c r="Q23" s="668">
        <f>B23</f>
        <v>0</v>
      </c>
      <c r="R23" s="669"/>
      <c r="S23" s="600"/>
      <c r="T23" s="608" t="str">
        <f>IF(B23&gt;0,$B$6,IF(B23=0,""))</f>
        <v/>
      </c>
      <c r="U23" s="608"/>
      <c r="V23" s="608"/>
      <c r="W23" s="608"/>
      <c r="X23" s="608"/>
      <c r="Y23" s="660" t="str">
        <f>IF(OR($G8="art. AX24"),$L23-13,IF(OR($G23="art. PR20",$G23="art. PR30"),$L23-6,IF(OR($G23="art. 1933"),$L23-33,IF($G23="art. 1934",$L23-32,IF($G23="art. 4004",$L23-10,IF(OR($G23="art. AN008"),$L23-4,IF(OR($G23="art. 3301"),$L23-5,IF(OR($G23="art. 2020"),$L23,""))))))))</f>
        <v/>
      </c>
      <c r="Z23" s="604" t="s">
        <v>81</v>
      </c>
      <c r="AA23" s="676" t="str">
        <f>IF(OR($G8="art. AX24"),$L25-13,IF(OR($G23="art. PR20",$G23="art. PR30"),$L25-6,IF(OR($G23="art. 1933"),$L25-33,IF($G23="art. 1934",$L25-31,IF($G23="art. 4004",$L25-10,IF(OR($G23="art. AN008"),$L25-4,IF(OR($G23="art. 3301"),$L25-5,IF(OR($G23="art. 2020"),$L25,""))))))))</f>
        <v/>
      </c>
      <c r="AB23" s="648" t="str">
        <f>IF(OR(MODULO!$T$61&lt;=-6,MODULO!$T$61&gt;=25),MODULO!$T$61,IF(AND(OR(AL23=23,AL23=24),AF23="HETTICH"),"K8,5",IF(AND($AF23="HETTICH",DATI!H3&gt;0),"",IF(AND($AF23="HETTICH",DATI!H8&gt;0),"",IF(AND($AF23="HETTICH",$B$5="1933   BIANCO PRIMER"),"",IF(AND($AF23="HETTICH",$B$5="1933 ALLUMINIO ANODIZZATO"),"",IF(AND($AF23="HETTICH"),"K6",IF(AND($AF23="SALICE"),"K4",IF(AND($AF23="BLUM"),"K5",IF(AND($AF23="GRASS"),"K5",IF(AND($AF23=""),"","")))))))))))</f>
        <v/>
      </c>
      <c r="AC23" s="668" t="str">
        <f>IF(MODULO!$I$61&gt;0,MODULO!$I$61,"")</f>
        <v/>
      </c>
      <c r="AD23" s="669"/>
      <c r="AE23" s="600"/>
      <c r="AF23" s="637" t="str">
        <f>IF(AND($AF24="NO FORI"),"",IF(AND($B23&gt;0,$BT$3="VERO"),$BU$3,IF(AND($B23&gt;0,$BT$22="VERO"),$BU$22,IF(AND($B23&gt;0,$BT$23="VERO"),$BU$23,IF(AND($B23&gt;0,$BT$24="VERO"),$BU$24,IF(AND($B23&gt;0,$BS$25="VERO"),$BU$25,IF(AND($B23&gt;0,$BS$27="VERO"),$BU$25,IF(AND($B23&gt;0,$BS$28="VERO"),$BU$28,IF(AND($B23&gt;0,$BS$30="VERO"),$BU$28,"")))))))))</f>
        <v/>
      </c>
      <c r="AG23" s="638"/>
      <c r="AH23" s="638"/>
      <c r="AI23" s="639"/>
      <c r="AJ23" s="206"/>
      <c r="AK23" s="206"/>
      <c r="AL23" s="636">
        <f>MODULO!$T$61</f>
        <v>0</v>
      </c>
      <c r="AM23" s="26" t="s">
        <v>314</v>
      </c>
      <c r="AN23" s="206"/>
      <c r="AO23" s="206"/>
      <c r="AP23" s="336" t="s">
        <v>287</v>
      </c>
      <c r="AQ23" s="336" t="s">
        <v>287</v>
      </c>
      <c r="AR23" s="336" t="s">
        <v>287</v>
      </c>
      <c r="AS23" s="336" t="s">
        <v>287</v>
      </c>
      <c r="AT23" s="336" t="s">
        <v>287</v>
      </c>
      <c r="AU23" s="336" t="s">
        <v>287</v>
      </c>
      <c r="AV23" s="337" t="s">
        <v>288</v>
      </c>
      <c r="AW23" s="337" t="s">
        <v>288</v>
      </c>
      <c r="AX23" s="337" t="s">
        <v>288</v>
      </c>
      <c r="AY23" s="338" t="s">
        <v>289</v>
      </c>
      <c r="AZ23" s="338" t="s">
        <v>289</v>
      </c>
      <c r="BA23" s="338" t="s">
        <v>289</v>
      </c>
      <c r="BB23" s="338" t="s">
        <v>290</v>
      </c>
      <c r="BC23" s="339" t="s">
        <v>287</v>
      </c>
      <c r="BD23" s="339" t="s">
        <v>287</v>
      </c>
      <c r="BE23" s="339" t="s">
        <v>287</v>
      </c>
      <c r="BF23" s="340" t="s">
        <v>288</v>
      </c>
      <c r="BG23" s="340" t="s">
        <v>288</v>
      </c>
      <c r="BH23" s="340" t="s">
        <v>288</v>
      </c>
      <c r="BI23" s="341" t="s">
        <v>289</v>
      </c>
      <c r="BJ23" s="341" t="s">
        <v>289</v>
      </c>
      <c r="BK23" s="341" t="s">
        <v>289</v>
      </c>
      <c r="BL23" s="341" t="s">
        <v>290</v>
      </c>
      <c r="BM23" s="342" t="s">
        <v>289</v>
      </c>
      <c r="BN23" s="342" t="s">
        <v>289</v>
      </c>
      <c r="BO23" s="342" t="s">
        <v>289</v>
      </c>
      <c r="BP23" s="5"/>
      <c r="BQ23" s="5"/>
      <c r="BR23" s="5"/>
      <c r="BS23" s="5"/>
      <c r="BT23" s="231" t="str">
        <f>IF(MODULO!$M$33="BLUM","VERO","FALSO")</f>
        <v>FALSO</v>
      </c>
      <c r="BU23" s="232" t="s">
        <v>49</v>
      </c>
      <c r="BV23" s="5"/>
      <c r="BW23" s="179"/>
      <c r="BX23" s="5"/>
      <c r="BY23" s="5"/>
      <c r="BZ23" s="5"/>
      <c r="CA23" s="5"/>
      <c r="CB23" s="5"/>
      <c r="CC23" s="5"/>
      <c r="CD23" s="5"/>
      <c r="CE23" s="5"/>
      <c r="CF23" s="5"/>
      <c r="CG23" s="5"/>
    </row>
    <row r="24" spans="1:85" ht="12" customHeight="1">
      <c r="A24" s="9" t="s">
        <v>13</v>
      </c>
      <c r="B24" s="219">
        <f>MODULO!$D$61</f>
        <v>0</v>
      </c>
      <c r="C24" s="671"/>
      <c r="D24" s="598"/>
      <c r="E24" s="599"/>
      <c r="F24" s="599"/>
      <c r="G24" s="610"/>
      <c r="H24" s="611"/>
      <c r="I24" s="611"/>
      <c r="J24" s="611"/>
      <c r="K24" s="612"/>
      <c r="L24" s="497" t="str">
        <f>IF(AND(MODULO!$AX$39="M",MODULO!$BB$56="LARGHEZZA"),L23,IF(AND(MODULO!$AX$69="M",MODULO!$BB$56="LARGHEZZA"),L23,IF(AND(MODULO!$AZ$58="M",MODULO!$BB$56="ALTEZZA"),L23,"")))</f>
        <v/>
      </c>
      <c r="M24" s="498"/>
      <c r="N24" s="498"/>
      <c r="O24" s="601"/>
      <c r="P24" s="1"/>
      <c r="Q24" s="670"/>
      <c r="R24" s="671"/>
      <c r="S24" s="672"/>
      <c r="T24" s="611"/>
      <c r="U24" s="611"/>
      <c r="V24" s="611"/>
      <c r="W24" s="611"/>
      <c r="X24" s="611"/>
      <c r="Y24" s="661"/>
      <c r="Z24" s="605"/>
      <c r="AA24" s="677"/>
      <c r="AB24" s="649"/>
      <c r="AC24" s="645"/>
      <c r="AD24" s="646"/>
      <c r="AE24" s="601"/>
      <c r="AF24" s="641" t="str">
        <f>IF(AND(MODULO!$B$61&gt;0,MODULO!$I$61=0,MODULO!$R$61=0),"NO FORI","")</f>
        <v/>
      </c>
      <c r="AG24" s="642"/>
      <c r="AH24" s="642"/>
      <c r="AI24" s="643"/>
      <c r="AJ24" s="206" t="str">
        <f>IF(AND(MODULO!$M$35="NERO OSSIDIANA",AJ26=9094000),SUBSTITUTE(AJ26,"9094000","9090967"),IF(AND(MODULO!$M$35="NERO OSSIDIANA",AJ26=9094010),SUBSTITUTE(AJ26,"9094010","9091762"),IF(AND(MODULO!$M$35="NERO OSSIDIANA",AJ26=9094290),SUBSTITUTE(AJ26,"9094290","9091756"),IF(AND(MODULO!$M$35="NERO OSSIDIANA",$AJ26=9090260),SUBSTITUTE(AJ26,"9090260","9090967"),IF(AND(MODULO!$M$35="NERO OSSIDIANA",$AJ26=9090270),SUBSTITUTE(AJ26,"9090270","9091755"),IF(AND(MODULO!$M$35="NERO OSSIDIANA",$AJ26=9090280),SUBSTITUTE(AJ26,"9090280","9091756"),IF(AND(MODULO!$M$35="NERO OSSIDIANA",$AJ26=9072524),SUBSTITUTE(AJ26,"9072524","9091744"),IF(AND(MODULO!$M$35="NERO OSSIDIANA",$AJ26=9072525),SUBSTITUTE(AJ26,"9072525","9091225"),IF(AND(MODULO!$M$35="NERO OSSIDIANA",$AJ26=9072526),SUBSTITUTE(AJ26,"9072526","9091226"),IF(AND(MODULO!$M$35="NERO OSSIDIANA",$AJ26=9091215),SUBSTITUTE(AJ26,"9091215","9091224"),IF(AND(MODULO!$M$35="NERO OSSIDIANA",$AJ26=9091216),SUBSTITUTE(AJ26,"9091216","9091225"),IF(AND(MODULO!$M$35="NERO OSSIDIANA",$AJ26=9091217),SUBSTITUTE(AJ26,"9091217","9091226"),$AJ26))))))))))))</f>
        <v/>
      </c>
      <c r="AK24" s="206" t="str">
        <f>IF(AND(AF23="HETTICH",AK26="HB5+HADB3"),SUBSTITUTE(AK26,"HB5+HADB3","HADB3"),"")</f>
        <v/>
      </c>
      <c r="AL24" s="636"/>
      <c r="AM24" s="162"/>
      <c r="AN24" s="214" t="s">
        <v>52</v>
      </c>
      <c r="AO24" s="214" t="s">
        <v>52</v>
      </c>
      <c r="AP24" s="214" t="s">
        <v>52</v>
      </c>
      <c r="AQ24" s="214" t="s">
        <v>52</v>
      </c>
      <c r="AR24" s="214" t="s">
        <v>52</v>
      </c>
      <c r="AS24" s="214" t="s">
        <v>52</v>
      </c>
      <c r="AT24" s="214" t="s">
        <v>52</v>
      </c>
      <c r="AU24" s="214" t="s">
        <v>52</v>
      </c>
      <c r="AV24" s="214" t="s">
        <v>52</v>
      </c>
      <c r="AW24" s="214" t="s">
        <v>52</v>
      </c>
      <c r="AX24" s="214" t="s">
        <v>52</v>
      </c>
      <c r="AY24" s="214" t="s">
        <v>52</v>
      </c>
      <c r="AZ24" s="214" t="s">
        <v>52</v>
      </c>
      <c r="BA24" s="214" t="s">
        <v>52</v>
      </c>
      <c r="BB24" s="214" t="s">
        <v>52</v>
      </c>
      <c r="BC24" s="214" t="s">
        <v>52</v>
      </c>
      <c r="BD24" s="214" t="s">
        <v>52</v>
      </c>
      <c r="BE24" s="214" t="s">
        <v>52</v>
      </c>
      <c r="BF24" s="214" t="s">
        <v>52</v>
      </c>
      <c r="BG24" s="214" t="s">
        <v>52</v>
      </c>
      <c r="BH24" s="214" t="s">
        <v>52</v>
      </c>
      <c r="BI24" s="214" t="s">
        <v>52</v>
      </c>
      <c r="BJ24" s="214" t="s">
        <v>52</v>
      </c>
      <c r="BK24" s="214" t="s">
        <v>52</v>
      </c>
      <c r="BL24" s="214" t="s">
        <v>52</v>
      </c>
      <c r="BM24" s="214" t="s">
        <v>52</v>
      </c>
      <c r="BN24" s="214" t="s">
        <v>52</v>
      </c>
      <c r="BO24" s="214" t="s">
        <v>52</v>
      </c>
      <c r="BP24" s="5"/>
      <c r="BQ24" s="5"/>
      <c r="BR24" s="5"/>
      <c r="BS24" s="5"/>
      <c r="BT24" s="231" t="str">
        <f>IF(MODULO!$M$33="GRASS (fornire passi fori)","VERO","FALSO")</f>
        <v>FALSO</v>
      </c>
      <c r="BU24" s="232" t="s">
        <v>50</v>
      </c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</row>
    <row r="25" spans="1:85" ht="12" customHeight="1" thickBot="1">
      <c r="A25" s="9" t="s">
        <v>14</v>
      </c>
      <c r="B25" s="219">
        <f>MODULO!$M$61</f>
        <v>0</v>
      </c>
      <c r="C25" s="671"/>
      <c r="D25" s="598">
        <f>D23</f>
        <v>0</v>
      </c>
      <c r="E25" s="599"/>
      <c r="F25" s="599"/>
      <c r="G25" s="610" t="str">
        <f>IF($B$23&gt;0,$B$5,"")</f>
        <v/>
      </c>
      <c r="H25" s="611"/>
      <c r="I25" s="611"/>
      <c r="J25" s="611"/>
      <c r="K25" s="612"/>
      <c r="L25" s="494">
        <f>IF(L24&lt;&gt;"",B25-22,B25)</f>
        <v>0</v>
      </c>
      <c r="M25" s="495"/>
      <c r="N25" s="495"/>
      <c r="O25" s="683"/>
      <c r="P25" s="1"/>
      <c r="Q25" s="670"/>
      <c r="R25" s="671"/>
      <c r="S25" s="672"/>
      <c r="T25" s="611"/>
      <c r="U25" s="611"/>
      <c r="V25" s="611"/>
      <c r="W25" s="611"/>
      <c r="X25" s="611"/>
      <c r="Y25" s="661"/>
      <c r="Z25" s="605"/>
      <c r="AA25" s="677"/>
      <c r="AB25" s="649"/>
      <c r="AC25" s="494" t="str">
        <f>IF(MODULO!$R$61&gt;0,MODULO!$R$61,"")</f>
        <v/>
      </c>
      <c r="AD25" s="495"/>
      <c r="AE25" s="496"/>
      <c r="AF25" s="632" t="str">
        <f>AJ24</f>
        <v/>
      </c>
      <c r="AG25" s="633"/>
      <c r="AH25" s="633"/>
      <c r="AI25" s="634"/>
      <c r="AJ25" s="223" t="str">
        <f>IF(AF23="HETTICH",INDEX($AM$38:$BO$70,MATCH(G23,$AM$38:$AM$70,0),MATCH(MODULO!$T$61,CARTELLINO!$AM$38:$BO$38,0)),"")</f>
        <v/>
      </c>
      <c r="AK25" s="206" t="str">
        <f>IF(AK27="DS20N","DS20SFN",IF(AK27="DS20NN","DS20SFNN",IF(OR(AK27="DS30N",AK27="DS30NN"),"DS30SF",IF(AND(MODULO!$M$35="NERO OSSIDIANA",AF23="HETTICH",AK26="HB0"),SUBSTITUTE(AK26,"HB0","HBN0"),IF(AND(MODULO!$M$35="NERO OSSIDIANA",AF23="HETTICH",AK26="HB3"),SUBSTITUTE(AK26,"HB3","HBN3"),IF(AND(MODULO!$M$35="NERO OSSIDIANA",AF23="HETTICH",AK26="HB5"),SUBSTITUTE(AK26,"HB5","HBN5"),IF(AND(MODULO!$M$35="NERO OSSIDIANA",AF23="HETTICH",AK26="HB5+HADB3"),SUBSTITUTE(AK26,"HB5+HADB3","HBN5"),IF(AND(MODULO!$M$35="NICHELATE",AF23="HETTICH",AK26="HB5+HADB3"),SUBSTITUTE(AK26,"HB5+HADB3","HB5"),AK26))))))))</f>
        <v/>
      </c>
      <c r="AL25" s="636"/>
      <c r="AM25" s="26"/>
      <c r="AN25" s="206"/>
      <c r="AO25" s="206"/>
      <c r="AP25" s="206"/>
      <c r="AQ25" s="206"/>
      <c r="AR25" s="206"/>
      <c r="AS25" s="206"/>
      <c r="AT25" s="206"/>
      <c r="AU25" s="206"/>
      <c r="AV25" s="206"/>
      <c r="AW25" s="206"/>
      <c r="AX25" s="206"/>
      <c r="AY25" s="206"/>
      <c r="AZ25" s="206"/>
      <c r="BA25" s="206"/>
      <c r="BB25" s="206"/>
      <c r="BC25" s="206"/>
      <c r="BD25" s="206"/>
      <c r="BE25" s="206"/>
      <c r="BF25" s="206"/>
      <c r="BG25" s="206"/>
      <c r="BH25" s="206"/>
      <c r="BI25" s="206"/>
      <c r="BJ25" s="206"/>
      <c r="BK25" s="206"/>
      <c r="BL25" s="206"/>
      <c r="BM25" s="206"/>
      <c r="BN25" s="206"/>
      <c r="BO25" s="206"/>
      <c r="BP25" s="233"/>
      <c r="BQ25" s="5"/>
      <c r="BR25" s="233"/>
      <c r="BS25" s="5" t="str">
        <f>IF(MODULO!$M$33="DS 20","VERO","FALSO")</f>
        <v>FALSO</v>
      </c>
      <c r="BT25" s="5"/>
      <c r="BU25" s="235" t="s">
        <v>89</v>
      </c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</row>
    <row r="26" spans="1:85" ht="12" customHeight="1">
      <c r="A26" s="5"/>
      <c r="B26" s="5"/>
      <c r="C26" s="671"/>
      <c r="D26" s="602"/>
      <c r="E26" s="603"/>
      <c r="F26" s="603"/>
      <c r="G26" s="613"/>
      <c r="H26" s="614"/>
      <c r="I26" s="614"/>
      <c r="J26" s="614"/>
      <c r="K26" s="615"/>
      <c r="L26" s="497" t="str">
        <f>IF(AND(MODULO!$AX$39="M",MODULO!$BB$56="ALTEZZA"),L25,IF(AND(MODULO!$AX$69="M",MODULO!$BB$56="ALTEZZA"),L25,IF(AND(MODULO!$AZ$58="M",MODULO!$BB$56="LARGHEZZA"),L25,"")))</f>
        <v/>
      </c>
      <c r="M26" s="498"/>
      <c r="N26" s="498"/>
      <c r="O26" s="499"/>
      <c r="P26" s="2"/>
      <c r="Q26" s="497"/>
      <c r="R26" s="498"/>
      <c r="S26" s="499"/>
      <c r="T26" s="614"/>
      <c r="U26" s="614"/>
      <c r="V26" s="614"/>
      <c r="W26" s="614"/>
      <c r="X26" s="614"/>
      <c r="Y26" s="662"/>
      <c r="Z26" s="606"/>
      <c r="AA26" s="678"/>
      <c r="AB26" s="650"/>
      <c r="AC26" s="645"/>
      <c r="AD26" s="646"/>
      <c r="AE26" s="601"/>
      <c r="AF26" s="610" t="str">
        <f>IF(AF25&lt;&gt;"PRED.",AK26,"")</f>
        <v/>
      </c>
      <c r="AG26" s="611"/>
      <c r="AH26" s="611"/>
      <c r="AI26" s="635"/>
      <c r="AJ26" s="224" t="str">
        <f>IF(AND(AF24="NO FORI"),"",IF(AND(B23&gt;0,$AL23="ASOLE"),"FORI ASOLE",IF(B23&gt;0,IF(OR(AF23="SALICE",AF23="BLUM",AF23="GRASS",MODULO!$M$30="NO"),"PRED.",IF(AND($BR$26&gt;0),$BU$26,IF(AND($BR$27&gt;0),$BU$27,IF(AND($BR$29&gt;0),$BU$29,IF(AND($BR$30&gt;0),$BU$30,IF(AF23="HETTICH",INDEX($AM$5:$BO$37,MATCH(G23,$AM$5:$AM$37,0),MATCH(MODULO!$T$61,CARTELLINO!$AM$5:$BO$5,0)),"")))))),"")))</f>
        <v/>
      </c>
      <c r="AK26" s="224" t="str">
        <f>IF(AND(G23="art. PR20",AF23="HETTICH"),INDEX($AM$5:$BO$37,MATCH("art. PR20 BASE",$AM$5:$AM$37,0),MATCH(MODULO!$T$61,CARTELLINO!$AM$5:$BO$5,0)),IF(AND(G23="art. PR30",AF23="HETTICH"),INDEX($AM$5:$BO$37,MATCH("art. PR30 BASE",$AM$5:$AM$37,0),MATCH(MODULO!$T$61,CARTELLINO!$AM$5:$BO$5,0)),IF(AND(G23="art. 1933",AF23="HETTICH"),INDEX($AM$5:$BO$37,MATCH("art. 1933 BASE",$AM$5:$AM$37,0),MATCH(MODULO!$T$61,CARTELLINO!$AM$5:$BO$5,0)),IF(AND(G23="art. 1934",AF23="HETTICH"),INDEX($AM$5:$BO$37,MATCH("art. 1934 BASE",$AM$5:$AM$37,0),MATCH(MODULO!$T$61,CARTELLINO!$AM$5:$BO$5,0)),IF(AND(G23="art. AN008",AF23="HETTICH"),INDEX($AM$5:$BO$37,MATCH("art. AN008 BASE",$AM$5:$AM$37,0),MATCH(MODULO!$T$61,CARTELLINO!$AM$5:$BO$5,0)),IF(AND(G23="art. 3301",AF23="HETTICH"),INDEX($AM$5:$BO$37,MATCH("art. 3301 BASE",$AM$5:$AM$37,0),MATCH(MODULO!$T$61,CARTELLINO!$AM$5:$BO$5,0)),IF(AND(G23="art. AX24",AF23="HETTICH"),INDEX($AM$5:$BO$37,MATCH("art. AX24 BASE",$AM$5:$AM$37,0),MATCH(MODULO!$T$61,CARTELLINO!$AM$5:$BO$5,0)),IF(AND(G23="art. 2020",AF23="HETTICH"),INDEX($AM$5:$BO$37,MATCH("art. 2020 BASE",$AM$5:$AM$37,0),MATCH(MODULO!$T$61,CARTELLINO!$AM$5:$BO$5,0)),""))))))))</f>
        <v/>
      </c>
      <c r="AL26" s="636"/>
      <c r="AM26" s="162" t="s">
        <v>185</v>
      </c>
      <c r="AN26" s="357">
        <v>9090260</v>
      </c>
      <c r="AO26" s="357">
        <v>9090260</v>
      </c>
      <c r="AP26" s="317">
        <v>9090260</v>
      </c>
      <c r="AQ26" s="317">
        <v>9090260</v>
      </c>
      <c r="AR26" s="317">
        <v>9090260</v>
      </c>
      <c r="AS26" s="317">
        <v>9090260</v>
      </c>
      <c r="AT26" s="317">
        <v>9090260</v>
      </c>
      <c r="AU26" s="317">
        <v>9090260</v>
      </c>
      <c r="AV26" s="316">
        <v>9090260</v>
      </c>
      <c r="AW26" s="316">
        <v>9090260</v>
      </c>
      <c r="AX26" s="316">
        <v>9090260</v>
      </c>
      <c r="AY26" s="312">
        <v>9090260</v>
      </c>
      <c r="AZ26" s="312">
        <v>9090260</v>
      </c>
      <c r="BA26" s="312">
        <v>9090260</v>
      </c>
      <c r="BB26" s="312">
        <v>9090260</v>
      </c>
      <c r="BC26" s="310">
        <v>9094010</v>
      </c>
      <c r="BD26" s="310">
        <v>9094010</v>
      </c>
      <c r="BE26" s="310">
        <v>9094010</v>
      </c>
      <c r="BF26" s="315">
        <v>9094010</v>
      </c>
      <c r="BG26" s="315">
        <v>9094010</v>
      </c>
      <c r="BH26" s="315">
        <v>9094010</v>
      </c>
      <c r="BI26" s="314">
        <v>9094010</v>
      </c>
      <c r="BJ26" s="314">
        <v>9094010</v>
      </c>
      <c r="BK26" s="314">
        <v>9094010</v>
      </c>
      <c r="BL26" s="314">
        <v>9094010</v>
      </c>
      <c r="BM26" s="311">
        <v>9094290</v>
      </c>
      <c r="BN26" s="311">
        <v>9094290</v>
      </c>
      <c r="BO26" s="311">
        <v>9094290</v>
      </c>
      <c r="BP26" s="5"/>
      <c r="BQ26" s="579">
        <f>SUM(BR26:BR30)</f>
        <v>0</v>
      </c>
      <c r="BR26" s="5">
        <f>IF(BS26="VERO",1,0)</f>
        <v>0</v>
      </c>
      <c r="BS26" s="5" t="str">
        <f>IF(AND(MODULO!$M$33="DS 20",MODULO!$M$35="NICHELATE"),"VERO","FALSO")</f>
        <v>FALSO</v>
      </c>
      <c r="BT26" s="234"/>
      <c r="BU26" s="238" t="s">
        <v>88</v>
      </c>
      <c r="BV26" s="236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</row>
    <row r="27" spans="1:85" ht="12.9" customHeight="1" thickBot="1">
      <c r="A27" s="5"/>
      <c r="B27" s="5"/>
      <c r="C27" s="11"/>
      <c r="D27" s="617" t="str">
        <f>IF(MODULO!$AN$54&gt;0,"predisposizione :","")</f>
        <v/>
      </c>
      <c r="E27" s="618"/>
      <c r="F27" s="618"/>
      <c r="G27" s="618"/>
      <c r="H27" s="618"/>
      <c r="I27" s="618"/>
      <c r="J27" s="618"/>
      <c r="K27" s="618"/>
      <c r="L27" s="618"/>
      <c r="M27" s="618"/>
      <c r="N27" s="618"/>
      <c r="O27" s="618"/>
      <c r="P27" s="616" t="str">
        <f>IF(MODULO!AA62&gt;0,MODULO!AA62,"")</f>
        <v/>
      </c>
      <c r="Q27" s="616"/>
      <c r="R27" s="616"/>
      <c r="S27" s="616"/>
      <c r="T27" s="616"/>
      <c r="U27" s="616"/>
      <c r="V27" s="616"/>
      <c r="W27" s="616"/>
      <c r="X27" s="616"/>
      <c r="Y27" s="616"/>
      <c r="Z27" s="616"/>
      <c r="AA27" s="616"/>
      <c r="AB27" s="616"/>
      <c r="AC27" s="616"/>
      <c r="AD27" s="616"/>
      <c r="AE27" s="616"/>
      <c r="AF27" s="616"/>
      <c r="AG27" s="616"/>
      <c r="AH27" s="616"/>
      <c r="AI27" s="616"/>
      <c r="AJ27" s="226" t="str">
        <f>IFERROR(AJ26,"NO")</f>
        <v/>
      </c>
      <c r="AK27" s="206" t="str">
        <f>IF(AND(AF23="DS20",AF25="NICHELATE"),"DS20N",IF(AND(AF23="DS20",AF25="NICHELATE NERE"),"DS20NN",IF(AND(AF23="DS30",AF25="NICHELATE"),"DS30N",IF(AND(AF23="DS30",AF25="NICHELATE NERE"),"DS30NN",IF(AND(MODULO!$M$35="NERO OSSIDIANA",AF23="HETTICH",AJ25="HCSB"),SUBSTITUTE(AJ25,"HCSB","HCNSB"),IF(AND(MODULO!$M$35="NERO OSSIDIANA",AF23="HETTICH",AJ25="HCSMB"),SUBSTITUTE(AJ25,"HCSMB","HCNSMB"),IF(AND(MODULO!$M$35="NERO OSSIDIANA",AF23="HETTICH",AJ25="HCSL"),SUBSTITUTE(AJ25,"HCSL","HCNSL"),IF(AND(MODULO!$M$35="NERO OSSIDIANA",AF23="HETTICH",AJ25="HVCAB"),SUBSTITUTE(AJ25,"HVCAB","HVCNAB"),IF(AND(MODULO!$M$35="NERO OSSIDIANA",AF23="HETTICH",AJ25="HVCAMB"),SUBSTITUTE(AJ25,"HVCAMB","HCNSMB"),IF(AND(MODULO!$M$35="NERO OSSIDIANA",AF23="HETTICH",AJ25="HVCAL"),SUBSTITUTE(AJ25,"HVCAL","HCNSL"),IF(AND(MODULO!$M$35="NERO OSSIDIANA",AF23="HETTICH",AJ25="HVCLB"),SUBSTITUTE(AJ25,"HVCLB","HVCNLB"),IF(AND(MODULO!$M$35="NERO OSSIDIANA",AF23="HETTICH",AJ25="HVCLMB"),SUBSTITUTE(AJ25,"HVCLMB","HVCNLMB"),IF(AND(MODULO!$M$35="NERO OSSIDIANA",AF23="HETTICH",AJ25="HVCLL"),SUBSTITUTE(AJ25,"HVCLL","HCNLL25"),IF(AND(MODULO!$M$35="NERO OSSIDIANA",AF23="HETTICH",AJ25="HCLB25"),SUBSTITUTE(AJ25,"HCLB25","HCNLB25"),IF(AND(MODULO!$M$35="NERO OSSIDIANA",AF23="HETTICH",AJ25="HCLMB25"),SUBSTITUTE(AJ25,"HCLMB25","HCNLMB25"),IF(AND(MODULO!$M$35="NERO OSSIDIANA",AF23="HETTICH",AJ25="HCLL25"),SUBSTITUTE(AJ25,"HCLL25","HCNLL25"),AJ25))))))))))))))))</f>
        <v/>
      </c>
      <c r="AL27" s="5"/>
      <c r="AM27" s="26" t="s">
        <v>315</v>
      </c>
      <c r="AN27" s="358" t="s">
        <v>287</v>
      </c>
      <c r="AO27" s="358" t="s">
        <v>287</v>
      </c>
      <c r="AP27" s="336" t="s">
        <v>287</v>
      </c>
      <c r="AQ27" s="336" t="s">
        <v>287</v>
      </c>
      <c r="AR27" s="336" t="s">
        <v>287</v>
      </c>
      <c r="AS27" s="336" t="s">
        <v>287</v>
      </c>
      <c r="AT27" s="336" t="s">
        <v>287</v>
      </c>
      <c r="AU27" s="336" t="s">
        <v>287</v>
      </c>
      <c r="AV27" s="337" t="s">
        <v>288</v>
      </c>
      <c r="AW27" s="337" t="s">
        <v>288</v>
      </c>
      <c r="AX27" s="337" t="s">
        <v>288</v>
      </c>
      <c r="AY27" s="338" t="s">
        <v>289</v>
      </c>
      <c r="AZ27" s="338" t="s">
        <v>289</v>
      </c>
      <c r="BA27" s="338" t="s">
        <v>289</v>
      </c>
      <c r="BB27" s="338" t="s">
        <v>290</v>
      </c>
      <c r="BC27" s="339" t="s">
        <v>287</v>
      </c>
      <c r="BD27" s="339" t="s">
        <v>287</v>
      </c>
      <c r="BE27" s="339" t="s">
        <v>287</v>
      </c>
      <c r="BF27" s="340" t="s">
        <v>288</v>
      </c>
      <c r="BG27" s="340" t="s">
        <v>288</v>
      </c>
      <c r="BH27" s="340" t="s">
        <v>288</v>
      </c>
      <c r="BI27" s="341" t="s">
        <v>289</v>
      </c>
      <c r="BJ27" s="341" t="s">
        <v>289</v>
      </c>
      <c r="BK27" s="341" t="s">
        <v>289</v>
      </c>
      <c r="BL27" s="341" t="s">
        <v>290</v>
      </c>
      <c r="BM27" s="342" t="s">
        <v>289</v>
      </c>
      <c r="BN27" s="342" t="s">
        <v>289</v>
      </c>
      <c r="BO27" s="342" t="s">
        <v>289</v>
      </c>
      <c r="BP27" s="5"/>
      <c r="BQ27" s="579"/>
      <c r="BR27" s="5">
        <f>IF(BS27="VERO",1,0)</f>
        <v>0</v>
      </c>
      <c r="BS27" s="5" t="str">
        <f>IF(AND(MODULO!$M$33="DS 20",MODULO!$M$35="NICHELATE NERE"),"VERO","FALSO")</f>
        <v>FALSO</v>
      </c>
      <c r="BT27" s="237"/>
      <c r="BU27" s="238" t="s">
        <v>91</v>
      </c>
      <c r="BV27" s="239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</row>
    <row r="28" spans="1:85" ht="12" customHeight="1">
      <c r="A28" s="9" t="s">
        <v>0</v>
      </c>
      <c r="B28" s="219">
        <f>MODULO!$B$65</f>
        <v>0</v>
      </c>
      <c r="C28" s="671" t="s">
        <v>12</v>
      </c>
      <c r="D28" s="596">
        <f>Q28*2</f>
        <v>0</v>
      </c>
      <c r="E28" s="597"/>
      <c r="F28" s="597"/>
      <c r="G28" s="607" t="str">
        <f>IF($B$28&gt;0,$B$3,"")</f>
        <v/>
      </c>
      <c r="H28" s="608"/>
      <c r="I28" s="608"/>
      <c r="J28" s="608"/>
      <c r="K28" s="609"/>
      <c r="L28" s="668">
        <f>IF(L31&lt;&gt;"",B29-22,B29)</f>
        <v>0</v>
      </c>
      <c r="M28" s="669"/>
      <c r="N28" s="669"/>
      <c r="O28" s="600" t="s">
        <v>13</v>
      </c>
      <c r="P28" s="205"/>
      <c r="Q28" s="668">
        <f>B28</f>
        <v>0</v>
      </c>
      <c r="R28" s="669"/>
      <c r="S28" s="600"/>
      <c r="T28" s="608" t="str">
        <f>IF(B28&gt;0,$B$6,IF(B28=0,""))</f>
        <v/>
      </c>
      <c r="U28" s="608"/>
      <c r="V28" s="608"/>
      <c r="W28" s="608"/>
      <c r="X28" s="608"/>
      <c r="Y28" s="660" t="str">
        <f>IF(OR($G8="art. AX24"),$L28-13,IF(OR($G28="art. PR20",$G28="art. PR30"),$L28-6,IF(OR($G28="art. 1933"),$L28-33,IF($G28="art. 1934",$L28-32,IF($G28="art. 4004",$L28-10,IF(OR($G28="art. AN008"),$L28-4,IF(OR($G28="art. 3301"),$L28-5,IF(OR($G28="art. 2020"),$L28,""))))))))</f>
        <v/>
      </c>
      <c r="Z28" s="604" t="s">
        <v>81</v>
      </c>
      <c r="AA28" s="676" t="str">
        <f>IF(OR($G8="art. AX24"),$L30-13,IF(OR($G28="art. PR20",$G28="art. PR30"),$L30-6,IF(OR($G28="art. 1933"),$L30-33,IF($G28="art. 1934",$L30-31,IF($G28="art. 4004",$L30-10,IF(OR($G28="art. AN008"),$L30-4,IF(OR($G28="art. 3301"),$L30-5,IF(OR($G28="art. 2020"),$L30,""))))))))</f>
        <v/>
      </c>
      <c r="AB28" s="648" t="str">
        <f>IF(OR(MODULO!$T$65&lt;=-6,MODULO!$T$65&gt;=25),MODULO!$T$65,IF(AND(OR(AL28=23,AL28=24),AF28="HETTICH"),"K8,5",IF(AND($AF28="HETTICH",DATI!H3&gt;0),"",IF(AND($AF28="HETTICH",DATI!H8&gt;0),"",IF(AND($AF28="HETTICH",$B$5="1933   BIANCO PRIMER"),"",IF(AND($AF28="HETTICH",$B$5="1933 ALLUMINIO ANODIZZATO"),"",IF(AND($AF28="HETTICH"),"K6",IF(AND($AF28="SALICE"),"K4",IF(AND($AF28="BLUM"),"K5",IF(AND($AF28="GRASS"),"K5",IF(AND($AF28=""),"","")))))))))))</f>
        <v/>
      </c>
      <c r="AC28" s="668" t="str">
        <f>IF(MODULO!$I$65&gt;0,MODULO!$I$65,"")</f>
        <v/>
      </c>
      <c r="AD28" s="669"/>
      <c r="AE28" s="600"/>
      <c r="AF28" s="637" t="str">
        <f>IF(AND($AF29="NO FORI"),"",IF(AND($B28&gt;0,$BT$3="VERO"),$BU$3,IF(AND($B28&gt;0,$BT$22="VERO"),$BU$22,IF(AND($B28&gt;0,$BT$23="VERO"),$BU$23,IF(AND($B28&gt;0,$BT$24="VERO"),$BU$24,IF(AND($B28&gt;0,$BS$25="VERO"),$BU$25,IF(AND($B28&gt;0,$BS$27="VERO"),$BU$25,IF(AND($B28&gt;0,$BS$28="VERO"),$BU$28,IF(AND($B28&gt;0,$BS$30="VERO"),$BU$28,"")))))))))</f>
        <v/>
      </c>
      <c r="AG28" s="638"/>
      <c r="AH28" s="638"/>
      <c r="AI28" s="639"/>
      <c r="AJ28" s="206"/>
      <c r="AK28" s="206"/>
      <c r="AL28" s="636">
        <f>MODULO!$T$65</f>
        <v>0</v>
      </c>
      <c r="AM28" s="25"/>
      <c r="AN28" s="214" t="s">
        <v>52</v>
      </c>
      <c r="AO28" s="214" t="s">
        <v>52</v>
      </c>
      <c r="AP28" s="214" t="s">
        <v>52</v>
      </c>
      <c r="AQ28" s="214" t="s">
        <v>52</v>
      </c>
      <c r="AR28" s="214" t="s">
        <v>52</v>
      </c>
      <c r="AS28" s="214" t="s">
        <v>52</v>
      </c>
      <c r="AT28" s="214" t="s">
        <v>52</v>
      </c>
      <c r="AU28" s="214" t="s">
        <v>52</v>
      </c>
      <c r="AV28" s="214" t="s">
        <v>52</v>
      </c>
      <c r="AW28" s="214" t="s">
        <v>52</v>
      </c>
      <c r="AX28" s="214" t="s">
        <v>52</v>
      </c>
      <c r="AY28" s="214" t="s">
        <v>52</v>
      </c>
      <c r="AZ28" s="214" t="s">
        <v>52</v>
      </c>
      <c r="BA28" s="214" t="s">
        <v>52</v>
      </c>
      <c r="BB28" s="214" t="s">
        <v>52</v>
      </c>
      <c r="BC28" s="214" t="s">
        <v>52</v>
      </c>
      <c r="BD28" s="214" t="s">
        <v>52</v>
      </c>
      <c r="BE28" s="214" t="s">
        <v>52</v>
      </c>
      <c r="BF28" s="214" t="s">
        <v>52</v>
      </c>
      <c r="BG28" s="214" t="s">
        <v>52</v>
      </c>
      <c r="BH28" s="214" t="s">
        <v>52</v>
      </c>
      <c r="BI28" s="214" t="s">
        <v>52</v>
      </c>
      <c r="BJ28" s="214" t="s">
        <v>52</v>
      </c>
      <c r="BK28" s="214" t="s">
        <v>52</v>
      </c>
      <c r="BL28" s="214" t="s">
        <v>52</v>
      </c>
      <c r="BM28" s="214" t="s">
        <v>52</v>
      </c>
      <c r="BN28" s="214" t="s">
        <v>52</v>
      </c>
      <c r="BO28" s="214" t="s">
        <v>52</v>
      </c>
      <c r="BP28" s="5"/>
      <c r="BQ28" s="579"/>
      <c r="BR28" s="5"/>
      <c r="BS28" s="5" t="str">
        <f>IF(MODULO!$M$33="DS 30","VERO","FALSO")</f>
        <v>FALSO</v>
      </c>
      <c r="BT28" s="234"/>
      <c r="BU28" s="235" t="s">
        <v>90</v>
      </c>
      <c r="BV28" s="212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</row>
    <row r="29" spans="1:85" ht="12" customHeight="1" thickBot="1">
      <c r="A29" s="9" t="s">
        <v>13</v>
      </c>
      <c r="B29" s="219">
        <f>MODULO!$D$65</f>
        <v>0</v>
      </c>
      <c r="C29" s="671"/>
      <c r="D29" s="598"/>
      <c r="E29" s="599"/>
      <c r="F29" s="599"/>
      <c r="G29" s="610"/>
      <c r="H29" s="611"/>
      <c r="I29" s="611"/>
      <c r="J29" s="611"/>
      <c r="K29" s="612"/>
      <c r="L29" s="497" t="str">
        <f>IF(AND(MODULO!$BK$39="M",MODULO!$BO$56="LARGHEZZA"),L28,IF(AND(MODULO!$BK$69="M",MODULO!$BO$56="LARGHEZZA"),L28,IF(AND(MODULO!$BM$58="M",MODULO!$BO$56="ALTEZZA"),L28,"")))</f>
        <v/>
      </c>
      <c r="M29" s="498"/>
      <c r="N29" s="498"/>
      <c r="O29" s="601"/>
      <c r="P29" s="1"/>
      <c r="Q29" s="670"/>
      <c r="R29" s="671"/>
      <c r="S29" s="672"/>
      <c r="T29" s="611"/>
      <c r="U29" s="611"/>
      <c r="V29" s="611"/>
      <c r="W29" s="611"/>
      <c r="X29" s="611"/>
      <c r="Y29" s="661"/>
      <c r="Z29" s="605"/>
      <c r="AA29" s="677"/>
      <c r="AB29" s="649"/>
      <c r="AC29" s="645"/>
      <c r="AD29" s="646"/>
      <c r="AE29" s="601"/>
      <c r="AF29" s="641" t="str">
        <f>IF(AND(MODULO!$B$65&gt;0,MODULO!$I$65=0,MODULO!$R$65=0),"NO FORI","")</f>
        <v/>
      </c>
      <c r="AG29" s="642"/>
      <c r="AH29" s="642"/>
      <c r="AI29" s="643"/>
      <c r="AJ29" s="206" t="str">
        <f>IF(AND(MODULO!$M$35="NERO OSSIDIANA",AJ31=9094000),SUBSTITUTE(AJ31,"9094000","9090967"),IF(AND(MODULO!$M$35="NERO OSSIDIANA",AJ31=9094010),SUBSTITUTE(AJ31,"9094010","9091762"),IF(AND(MODULO!$M$35="NERO OSSIDIANA",AJ31=9094290),SUBSTITUTE(AJ31,"9094290","9091756"),IF(AND(MODULO!$M$35="NERO OSSIDIANA",$AJ31=9090260),SUBSTITUTE(AJ31,"9090260","9090967"),IF(AND(MODULO!$M$35="NERO OSSIDIANA",$AJ31=9090270),SUBSTITUTE(AJ31,"9090270","9091755"),IF(AND(MODULO!$M$35="NERO OSSIDIANA",$AJ31=9090280),SUBSTITUTE(AJ31,"9090280","9091756"),IF(AND(MODULO!$M$35="NERO OSSIDIANA",$AJ31=9072524),SUBSTITUTE(AJ31,"9072524","9091744"),IF(AND(MODULO!$M$35="NERO OSSIDIANA",$AJ31=9072525),SUBSTITUTE(AJ31,"9072525","9091225"),IF(AND(MODULO!$M$35="NERO OSSIDIANA",$AJ31=9072526),SUBSTITUTE(AJ31,"9072526","9091226"),IF(AND(MODULO!$M$35="NERO OSSIDIANA",$AJ31=9091215),SUBSTITUTE(AJ31,"9091215","9091224"),IF(AND(MODULO!$M$35="NERO OSSIDIANA",$AJ31=9091216),SUBSTITUTE(AJ31,"9091216","9091225"),IF(AND(MODULO!$M$35="NERO OSSIDIANA",$AJ31=9091217),SUBSTITUTE(AJ31,"9091217","9091226"),$AJ31))))))))))))</f>
        <v/>
      </c>
      <c r="AK29" s="206" t="str">
        <f>IF(AND(AF28="HETTICH",AK31="HB5+HADB3"),SUBSTITUTE(AK31,"HB5+HADB3","HADB3"),"")</f>
        <v/>
      </c>
      <c r="AL29" s="636"/>
      <c r="AM29" s="26"/>
      <c r="AN29" s="206"/>
      <c r="AO29" s="206"/>
      <c r="AP29" s="206"/>
      <c r="AQ29" s="206"/>
      <c r="AR29" s="206"/>
      <c r="AS29" s="206"/>
      <c r="AT29" s="206"/>
      <c r="AU29" s="206"/>
      <c r="AV29" s="206"/>
      <c r="AW29" s="206"/>
      <c r="AX29" s="206"/>
      <c r="AY29" s="206"/>
      <c r="AZ29" s="206"/>
      <c r="BA29" s="206"/>
      <c r="BB29" s="206"/>
      <c r="BC29" s="206"/>
      <c r="BD29" s="206"/>
      <c r="BE29" s="206"/>
      <c r="BF29" s="206"/>
      <c r="BG29" s="206"/>
      <c r="BH29" s="206"/>
      <c r="BI29" s="206"/>
      <c r="BJ29" s="206"/>
      <c r="BK29" s="206"/>
      <c r="BL29" s="206"/>
      <c r="BM29" s="206"/>
      <c r="BN29" s="206"/>
      <c r="BO29" s="206"/>
      <c r="BP29" s="5"/>
      <c r="BQ29" s="579"/>
      <c r="BR29" s="5">
        <f>IF(BS29="VERO",1,0)</f>
        <v>0</v>
      </c>
      <c r="BS29" s="5" t="str">
        <f>IF(AND(MODULO!$M$33="DS 30",MODULO!$M$35="NICHELATE"),"VERO","FALSO")</f>
        <v>FALSO</v>
      </c>
      <c r="BT29" s="240"/>
      <c r="BU29" s="238" t="s">
        <v>88</v>
      </c>
      <c r="BV29" s="220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</row>
    <row r="30" spans="1:85" ht="12" customHeight="1">
      <c r="A30" s="9" t="s">
        <v>14</v>
      </c>
      <c r="B30" s="219">
        <f>MODULO!$M$65</f>
        <v>0</v>
      </c>
      <c r="C30" s="671"/>
      <c r="D30" s="598">
        <f>D28</f>
        <v>0</v>
      </c>
      <c r="E30" s="599"/>
      <c r="F30" s="599"/>
      <c r="G30" s="610" t="str">
        <f>IF($B$28&gt;0,$B$5,"")</f>
        <v/>
      </c>
      <c r="H30" s="611"/>
      <c r="I30" s="611"/>
      <c r="J30" s="611"/>
      <c r="K30" s="612"/>
      <c r="L30" s="494">
        <f>IF(L29&lt;&gt;"",B30-22,B30)</f>
        <v>0</v>
      </c>
      <c r="M30" s="495"/>
      <c r="N30" s="495"/>
      <c r="O30" s="683"/>
      <c r="P30" s="1"/>
      <c r="Q30" s="670"/>
      <c r="R30" s="671"/>
      <c r="S30" s="672"/>
      <c r="T30" s="611"/>
      <c r="U30" s="611"/>
      <c r="V30" s="611"/>
      <c r="W30" s="611"/>
      <c r="X30" s="611"/>
      <c r="Y30" s="661"/>
      <c r="Z30" s="605"/>
      <c r="AA30" s="677"/>
      <c r="AB30" s="649"/>
      <c r="AC30" s="494" t="str">
        <f>IF(MODULO!$R$65&gt;0,MODULO!$R$65,"")</f>
        <v/>
      </c>
      <c r="AD30" s="495"/>
      <c r="AE30" s="496"/>
      <c r="AF30" s="632" t="str">
        <f>AJ29</f>
        <v/>
      </c>
      <c r="AG30" s="633"/>
      <c r="AH30" s="633"/>
      <c r="AI30" s="634"/>
      <c r="AJ30" s="223" t="str">
        <f>IF(AF28="HETTICH",INDEX($AM$38:$BO$70,MATCH(G28,$AM$38:$AM$70,0),MATCH(MODULO!$T$65,CARTELLINO!$AM$38:$BO$38,0)),"")</f>
        <v/>
      </c>
      <c r="AK30" s="206" t="str">
        <f>IF(AK32="DS20N","DS20SFN",IF(AK32="DS20NN","DS20SFNN",IF(OR(AK32="DS30N",AK32="DS30NN"),"DS30SF",IF(AND(MODULO!$M$35="NERO OSSIDIANA",AF28="HETTICH",AK31="HB0"),SUBSTITUTE(AK31,"HB0","HBN0"),IF(AND(MODULO!$M$35="NERO OSSIDIANA",AF28="HETTICH",AK31="HB3"),SUBSTITUTE(AK31,"HB3","HBN3"),IF(AND(MODULO!$M$35="NERO OSSIDIANA",AF28="HETTICH",AK31="HB5"),SUBSTITUTE(AK31,"HB5","HBN5"),IF(AND(MODULO!$M$35="NERO OSSIDIANA",AF28="HETTICH",AK31="HB5+HADB3"),SUBSTITUTE(AK31,"HB5+HADB3","HBN5"),IF(AND(MODULO!$M$35="NICHELATE",AF28="HETTICH",AK31="HB5+HADB3"),SUBSTITUTE(AK31,"HB5+HADB3","HB5"),AK31))))))))</f>
        <v/>
      </c>
      <c r="AL30" s="636"/>
      <c r="AM30" s="356" t="s">
        <v>269</v>
      </c>
      <c r="AN30" s="357">
        <v>9090260</v>
      </c>
      <c r="AO30" s="357">
        <v>9090260</v>
      </c>
      <c r="AP30" s="343">
        <v>9090260</v>
      </c>
      <c r="AQ30" s="343">
        <v>9090260</v>
      </c>
      <c r="AR30" s="343">
        <v>9090260</v>
      </c>
      <c r="AS30" s="343">
        <v>9090260</v>
      </c>
      <c r="AT30" s="343">
        <v>9090260</v>
      </c>
      <c r="AU30" s="343">
        <v>9090260</v>
      </c>
      <c r="AV30" s="311">
        <v>9090260</v>
      </c>
      <c r="AW30" s="311">
        <v>9090260</v>
      </c>
      <c r="AX30" s="311">
        <v>9090260</v>
      </c>
      <c r="AY30" s="345">
        <v>9090260</v>
      </c>
      <c r="AZ30" s="345">
        <v>9090260</v>
      </c>
      <c r="BA30" s="345">
        <v>9090260</v>
      </c>
      <c r="BB30" s="345">
        <v>9090260</v>
      </c>
      <c r="BC30" s="347">
        <v>9090270</v>
      </c>
      <c r="BD30" s="347">
        <v>9090270</v>
      </c>
      <c r="BE30" s="347">
        <v>9090270</v>
      </c>
      <c r="BF30" s="349">
        <v>9090270</v>
      </c>
      <c r="BG30" s="349">
        <v>9090270</v>
      </c>
      <c r="BH30" s="349">
        <v>9090270</v>
      </c>
      <c r="BI30" s="351">
        <v>9090270</v>
      </c>
      <c r="BJ30" s="351">
        <v>9090270</v>
      </c>
      <c r="BK30" s="351">
        <v>9090270</v>
      </c>
      <c r="BL30" s="351">
        <v>9090270</v>
      </c>
      <c r="BM30" s="353">
        <v>9090280</v>
      </c>
      <c r="BN30" s="353">
        <v>9090280</v>
      </c>
      <c r="BO30" s="353">
        <v>9090280</v>
      </c>
      <c r="BP30" s="5"/>
      <c r="BQ30" s="580"/>
      <c r="BR30" s="5">
        <f>IF(BS30="VERO",1,0)</f>
        <v>0</v>
      </c>
      <c r="BS30" s="5" t="str">
        <f>IF(AND(MODULO!$M$33="DS 30",MODULO!$M$35="NICHELATE NERE"),"VERO","FALSO")</f>
        <v>FALSO</v>
      </c>
      <c r="BT30" s="237"/>
      <c r="BU30" s="238" t="s">
        <v>91</v>
      </c>
      <c r="BV30" s="239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</row>
    <row r="31" spans="1:85" ht="12" customHeight="1" thickBot="1">
      <c r="A31" s="5"/>
      <c r="B31" s="5"/>
      <c r="C31" s="671"/>
      <c r="D31" s="602"/>
      <c r="E31" s="603"/>
      <c r="F31" s="603"/>
      <c r="G31" s="613"/>
      <c r="H31" s="614"/>
      <c r="I31" s="614"/>
      <c r="J31" s="614"/>
      <c r="K31" s="615"/>
      <c r="L31" s="497" t="str">
        <f>IF(AND(MODULO!$BK$39="M",MODULO!$BO$56="ALTEZZA"),L30,IF(AND(MODULO!$BK$69="M",MODULO!$BO$56="ALTEZZA"),L30,IF(AND(MODULO!$BM$58="M",MODULO!$BO$56="LARGHEZZA"),L30,"")))</f>
        <v/>
      </c>
      <c r="M31" s="498"/>
      <c r="N31" s="498"/>
      <c r="O31" s="499"/>
      <c r="P31" s="2"/>
      <c r="Q31" s="497"/>
      <c r="R31" s="498"/>
      <c r="S31" s="499"/>
      <c r="T31" s="614"/>
      <c r="U31" s="614"/>
      <c r="V31" s="614"/>
      <c r="W31" s="614"/>
      <c r="X31" s="614"/>
      <c r="Y31" s="662"/>
      <c r="Z31" s="606"/>
      <c r="AA31" s="678"/>
      <c r="AB31" s="650"/>
      <c r="AC31" s="645"/>
      <c r="AD31" s="646"/>
      <c r="AE31" s="601"/>
      <c r="AF31" s="610" t="str">
        <f>IF(AF30&lt;&gt;"PRED.",AK31,"")</f>
        <v/>
      </c>
      <c r="AG31" s="611"/>
      <c r="AH31" s="611"/>
      <c r="AI31" s="635"/>
      <c r="AJ31" s="224" t="str">
        <f>IF(AND(AF29="NO FORI"),"",IF(AND(B28&gt;0,$AL28="ASOLE"),"FORI ASOLE",IF(B28&gt;0,IF(OR(AF28="SALICE",AF28="BLUM",AF28="GRASS",MODULO!$M$30="NO"),"PRED.",IF(AND($BR$26&gt;0),$BU$26,IF(AND($BR$27&gt;0),$BU$27,IF(AND($BR$29&gt;0),$BU$29,IF(AND($BR$30&gt;0),$BU$30,IF(AF28="HETTICH",INDEX($AM$5:$BO$37,MATCH(G28,$AM$5:$AM$37,0),MATCH(MODULO!$T$65,CARTELLINO!$AM$5:$BO$5,0)),"")))))),"")))</f>
        <v/>
      </c>
      <c r="AK31" s="224" t="str">
        <f>IF(AND(G28="art. PR20",AF28="HETTICH"),INDEX($AM$5:$BO$37,MATCH("art. PR20 BASE",$AM$5:$AM$37,0),MATCH(MODULO!$T$65,CARTELLINO!$AM$5:$BO$5,0)),IF(AND(G28="art. PR30",AF28="HETTICH"),INDEX($AM$5:$BO$37,MATCH("art. PR30 BASE",$AM$5:$AM$37,0),MATCH(MODULO!$T$65,CARTELLINO!$AM$5:$BO$5,0)),IF(AND(G28="art. 1933",AF28="HETTICH"),INDEX($AM$5:$BO$37,MATCH("art. 1933 BASE",$AM$5:$AM$37,0),MATCH(MODULO!$T$65,CARTELLINO!$AM$5:$BO$5,0)),IF(AND(G28="art. 1934",AF28="HETTICH"),INDEX($AM$5:$BO$37,MATCH("art. 1934 BASE",$AM$5:$AM$37,0),MATCH(MODULO!$T$65,CARTELLINO!$AM$5:$BO$5,0)),IF(AND(G28="art. AN008",AF28="HETTICH"),INDEX($AM$5:$BO$37,MATCH("art. AN008 BASE",$AM$5:$AM$37,0),MATCH(MODULO!$T$65,CARTELLINO!$AM$5:$BO$5,0)),IF(AND(G28="art. 3301",AF28="HETTICH"),INDEX($AM$5:$BO$37,MATCH("art. 3301 BASE",$AM$5:$AM$37,0),MATCH(MODULO!$T$65,CARTELLINO!$AM$5:$BO$5,0)),IF(AND(G28="art. AX24",AF28="HETTICH"),INDEX($AM$5:$BO$37,MATCH("art. AX24 BASE",$AM$5:$AM$37,0),MATCH(MODULO!$T$65,CARTELLINO!$AM$5:$BO$5,0)),IF(AND(G28="art. 2020",AF28="HETTICH"),INDEX($AM$5:$BO$37,MATCH("art. 2020 BASE",$AM$5:$AM$37,0),MATCH(MODULO!$T$65,CARTELLINO!$AM$5:$BO$5,0)),""))))))))</f>
        <v/>
      </c>
      <c r="AL31" s="636"/>
      <c r="AM31" s="26" t="s">
        <v>316</v>
      </c>
      <c r="AN31" s="358" t="s">
        <v>287</v>
      </c>
      <c r="AO31" s="358" t="s">
        <v>287</v>
      </c>
      <c r="AP31" s="344" t="s">
        <v>287</v>
      </c>
      <c r="AQ31" s="344" t="s">
        <v>287</v>
      </c>
      <c r="AR31" s="344" t="s">
        <v>287</v>
      </c>
      <c r="AS31" s="344" t="s">
        <v>287</v>
      </c>
      <c r="AT31" s="344" t="s">
        <v>287</v>
      </c>
      <c r="AU31" s="344" t="s">
        <v>287</v>
      </c>
      <c r="AV31" s="342" t="s">
        <v>288</v>
      </c>
      <c r="AW31" s="342" t="s">
        <v>288</v>
      </c>
      <c r="AX31" s="342" t="s">
        <v>288</v>
      </c>
      <c r="AY31" s="346" t="s">
        <v>289</v>
      </c>
      <c r="AZ31" s="346" t="s">
        <v>289</v>
      </c>
      <c r="BA31" s="346" t="s">
        <v>289</v>
      </c>
      <c r="BB31" s="346" t="s">
        <v>290</v>
      </c>
      <c r="BC31" s="348" t="s">
        <v>287</v>
      </c>
      <c r="BD31" s="348" t="s">
        <v>287</v>
      </c>
      <c r="BE31" s="348" t="s">
        <v>287</v>
      </c>
      <c r="BF31" s="350" t="s">
        <v>288</v>
      </c>
      <c r="BG31" s="350" t="s">
        <v>288</v>
      </c>
      <c r="BH31" s="350" t="s">
        <v>288</v>
      </c>
      <c r="BI31" s="352" t="s">
        <v>289</v>
      </c>
      <c r="BJ31" s="352" t="s">
        <v>289</v>
      </c>
      <c r="BK31" s="352" t="s">
        <v>289</v>
      </c>
      <c r="BL31" s="352" t="s">
        <v>290</v>
      </c>
      <c r="BM31" s="354" t="s">
        <v>289</v>
      </c>
      <c r="BN31" s="354" t="s">
        <v>289</v>
      </c>
      <c r="BO31" s="354" t="s">
        <v>289</v>
      </c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</row>
    <row r="32" spans="1:85" ht="12.9" customHeight="1" thickBot="1">
      <c r="A32" s="5"/>
      <c r="B32" s="5"/>
      <c r="D32" s="617" t="str">
        <f>IF(MODULO!$AN$58&gt;0,"predisposizione :","")</f>
        <v/>
      </c>
      <c r="E32" s="618"/>
      <c r="F32" s="618"/>
      <c r="G32" s="618"/>
      <c r="H32" s="618"/>
      <c r="I32" s="618"/>
      <c r="J32" s="618"/>
      <c r="K32" s="618"/>
      <c r="L32" s="618"/>
      <c r="M32" s="618"/>
      <c r="N32" s="618"/>
      <c r="O32" s="618"/>
      <c r="P32" s="616" t="str">
        <f>IF(MODULO!AA65&gt;0,MODULO!AA65,"")</f>
        <v/>
      </c>
      <c r="Q32" s="616"/>
      <c r="R32" s="616"/>
      <c r="S32" s="616"/>
      <c r="T32" s="616"/>
      <c r="U32" s="616"/>
      <c r="V32" s="616"/>
      <c r="W32" s="616"/>
      <c r="X32" s="616"/>
      <c r="Y32" s="616"/>
      <c r="Z32" s="616"/>
      <c r="AA32" s="616"/>
      <c r="AB32" s="616"/>
      <c r="AC32" s="616"/>
      <c r="AD32" s="616"/>
      <c r="AE32" s="616"/>
      <c r="AF32" s="616"/>
      <c r="AG32" s="616"/>
      <c r="AH32" s="616"/>
      <c r="AI32" s="616"/>
      <c r="AJ32" s="226" t="str">
        <f>IFERROR(AJ31,"NO")</f>
        <v/>
      </c>
      <c r="AK32" s="206" t="str">
        <f>IF(AND(AF28="DS20",AF30="NICHELATE"),"DS20N",IF(AND(AF28="DS20",AF30="NICHELATE NERE"),"DS20NN",IF(AND(AF28="DS30",AF30="NICHELATE"),"DS30N",IF(AND(AF28="DS30",AF30="NICHELATE NERE"),"DS30NN",IF(AND(MODULO!$M$35="NERO OSSIDIANA",AF28="HETTICH",AJ30="HCSB"),SUBSTITUTE(AJ30,"HCSB","HCNSB"),IF(AND(MODULO!$M$35="NERO OSSIDIANA",AF28="HETTICH",AJ30="HCSMB"),SUBSTITUTE(AJ30,"HCSMB","HCNSMB"),IF(AND(MODULO!$M$35="NERO OSSIDIANA",AF28="HETTICH",AJ30="HCSL"),SUBSTITUTE(AJ30,"HCSL","HCNSL"),IF(AND(MODULO!$M$35="NERO OSSIDIANA",AF28="HETTICH",AJ30="HVCAB"),SUBSTITUTE(AJ30,"HVCAB","HVCNAB"),IF(AND(MODULO!$M$35="NERO OSSIDIANA",AF28="HETTICH",AJ30="HVCAMB"),SUBSTITUTE(AJ30,"HVCAMB","HCNSMB"),IF(AND(MODULO!$M$35="NERO OSSIDIANA",AF28="HETTICH",AJ30="HVCAL"),SUBSTITUTE(AJ30,"HVCAL","HCNSL"),IF(AND(MODULO!$M$35="NERO OSSIDIANA",AF28="HETTICH",AJ30="HVCLB"),SUBSTITUTE(AJ30,"HVCLB","HVCNLB"),IF(AND(MODULO!$M$35="NERO OSSIDIANA",AF28="HETTICH",AJ30="HVCLMB"),SUBSTITUTE(AJ30,"HVCLMB","HVCNLMB"),IF(AND(MODULO!$M$35="NERO OSSIDIANA",AF28="HETTICH",AJ30="HVCLL"),SUBSTITUTE(AJ30,"HVCLL","HCNLL25"),IF(AND(MODULO!$M$35="NERO OSSIDIANA",AF28="HETTICH",AJ30="HCLB25"),SUBSTITUTE(AJ30,"HCLB25","HCNLB25"),IF(AND(MODULO!$M$35="NERO OSSIDIANA",AF28="HETTICH",AJ30="HCLMB25"),SUBSTITUTE(AJ30,"HCLMB25","HCNLMB25"),IF(AND(MODULO!$M$35="NERO OSSIDIANA",AF28="HETTICH",AJ30="HCLL25"),SUBSTITUTE(AJ30,"HCLL25","HCNLL25"),AJ30))))))))))))))))</f>
        <v/>
      </c>
      <c r="AL32" s="5"/>
      <c r="AM32" s="162" t="s">
        <v>186</v>
      </c>
      <c r="AN32" s="357">
        <v>9090260</v>
      </c>
      <c r="AO32" s="357">
        <v>9090260</v>
      </c>
      <c r="AP32" s="317">
        <v>9090260</v>
      </c>
      <c r="AQ32" s="317">
        <v>9090260</v>
      </c>
      <c r="AR32" s="317">
        <v>9090260</v>
      </c>
      <c r="AS32" s="317">
        <v>9090260</v>
      </c>
      <c r="AT32" s="317">
        <v>9090260</v>
      </c>
      <c r="AU32" s="317">
        <v>9090260</v>
      </c>
      <c r="AV32" s="316">
        <v>9090260</v>
      </c>
      <c r="AW32" s="316">
        <v>9090260</v>
      </c>
      <c r="AX32" s="316">
        <v>9090260</v>
      </c>
      <c r="AY32" s="312">
        <v>9090260</v>
      </c>
      <c r="AZ32" s="312">
        <v>9090260</v>
      </c>
      <c r="BA32" s="312">
        <v>9090260</v>
      </c>
      <c r="BB32" s="312">
        <v>9090260</v>
      </c>
      <c r="BC32" s="310">
        <v>9094010</v>
      </c>
      <c r="BD32" s="310">
        <v>9094010</v>
      </c>
      <c r="BE32" s="310">
        <v>9094010</v>
      </c>
      <c r="BF32" s="315">
        <v>9094010</v>
      </c>
      <c r="BG32" s="315">
        <v>9094010</v>
      </c>
      <c r="BH32" s="315">
        <v>9094010</v>
      </c>
      <c r="BI32" s="314">
        <v>9094010</v>
      </c>
      <c r="BJ32" s="314">
        <v>9094010</v>
      </c>
      <c r="BK32" s="314">
        <v>9094010</v>
      </c>
      <c r="BL32" s="314">
        <v>9094010</v>
      </c>
      <c r="BM32" s="311">
        <v>9094290</v>
      </c>
      <c r="BN32" s="311">
        <v>9094290</v>
      </c>
      <c r="BO32" s="311">
        <v>9094290</v>
      </c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</row>
    <row r="33" spans="1:85" ht="18" customHeight="1" thickBot="1">
      <c r="A33" s="179" t="s">
        <v>212</v>
      </c>
      <c r="B33" s="5" t="s">
        <v>203</v>
      </c>
      <c r="C33" s="667" t="str">
        <f>IF(MODULO!$AP$1&lt;&gt;"","+ ALLEGATO","NOTE :")</f>
        <v>NOTE :</v>
      </c>
      <c r="D33" s="667"/>
      <c r="E33" s="667"/>
      <c r="F33" s="667"/>
      <c r="G33" s="667"/>
      <c r="H33" s="667"/>
      <c r="I33" s="681" t="str">
        <f>IF(MODULO!$F$70="","",MODULO!$F$70)</f>
        <v/>
      </c>
      <c r="J33" s="681"/>
      <c r="K33" s="681"/>
      <c r="L33" s="681"/>
      <c r="M33" s="681"/>
      <c r="N33" s="681"/>
      <c r="O33" s="681"/>
      <c r="P33" s="681"/>
      <c r="Q33" s="681"/>
      <c r="R33" s="681"/>
      <c r="S33" s="681"/>
      <c r="T33" s="681"/>
      <c r="U33" s="681"/>
      <c r="V33" s="681"/>
      <c r="W33" s="681"/>
      <c r="X33" s="681"/>
      <c r="Y33" s="681"/>
      <c r="Z33" s="681"/>
      <c r="AA33" s="681"/>
      <c r="AB33" s="681"/>
      <c r="AC33" s="681"/>
      <c r="AD33" s="681"/>
      <c r="AE33" s="681"/>
      <c r="AF33" s="681"/>
      <c r="AG33" s="681"/>
      <c r="AH33" s="681"/>
      <c r="AI33" s="681"/>
      <c r="AJ33" s="5"/>
      <c r="AK33" s="5"/>
      <c r="AL33" s="5"/>
      <c r="AM33" s="26" t="s">
        <v>317</v>
      </c>
      <c r="AN33" s="358" t="s">
        <v>287</v>
      </c>
      <c r="AO33" s="358" t="s">
        <v>287</v>
      </c>
      <c r="AP33" s="336" t="s">
        <v>287</v>
      </c>
      <c r="AQ33" s="336" t="s">
        <v>287</v>
      </c>
      <c r="AR33" s="336" t="s">
        <v>287</v>
      </c>
      <c r="AS33" s="336" t="s">
        <v>287</v>
      </c>
      <c r="AT33" s="336" t="s">
        <v>287</v>
      </c>
      <c r="AU33" s="336" t="s">
        <v>287</v>
      </c>
      <c r="AV33" s="337" t="s">
        <v>288</v>
      </c>
      <c r="AW33" s="337" t="s">
        <v>288</v>
      </c>
      <c r="AX33" s="337" t="s">
        <v>288</v>
      </c>
      <c r="AY33" s="338" t="s">
        <v>289</v>
      </c>
      <c r="AZ33" s="338" t="s">
        <v>289</v>
      </c>
      <c r="BA33" s="338" t="s">
        <v>289</v>
      </c>
      <c r="BB33" s="338" t="s">
        <v>290</v>
      </c>
      <c r="BC33" s="339" t="s">
        <v>287</v>
      </c>
      <c r="BD33" s="339" t="s">
        <v>287</v>
      </c>
      <c r="BE33" s="339" t="s">
        <v>287</v>
      </c>
      <c r="BF33" s="340" t="s">
        <v>288</v>
      </c>
      <c r="BG33" s="340" t="s">
        <v>288</v>
      </c>
      <c r="BH33" s="340" t="s">
        <v>288</v>
      </c>
      <c r="BI33" s="341" t="s">
        <v>289</v>
      </c>
      <c r="BJ33" s="341" t="s">
        <v>289</v>
      </c>
      <c r="BK33" s="341" t="s">
        <v>289</v>
      </c>
      <c r="BL33" s="341" t="s">
        <v>290</v>
      </c>
      <c r="BM33" s="342" t="s">
        <v>289</v>
      </c>
      <c r="BN33" s="342" t="s">
        <v>289</v>
      </c>
      <c r="BO33" s="342" t="s">
        <v>289</v>
      </c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</row>
    <row r="34" spans="1:85" ht="15" customHeight="1">
      <c r="A34" s="179" t="s">
        <v>213</v>
      </c>
      <c r="B34" s="5" t="s">
        <v>204</v>
      </c>
      <c r="C34" s="684" t="str">
        <f>IF(DATI!I25&gt;0,"MONTATA",IF(DATI!I26&gt;0,"SMONTATA","BOH"))</f>
        <v>BOH</v>
      </c>
      <c r="D34" s="684"/>
      <c r="E34" s="684"/>
      <c r="F34" s="684"/>
      <c r="G34" s="684"/>
      <c r="H34" s="684"/>
      <c r="I34" s="682"/>
      <c r="J34" s="682"/>
      <c r="K34" s="682"/>
      <c r="L34" s="682"/>
      <c r="M34" s="682"/>
      <c r="N34" s="682"/>
      <c r="O34" s="682"/>
      <c r="P34" s="682"/>
      <c r="Q34" s="682"/>
      <c r="R34" s="682"/>
      <c r="S34" s="682"/>
      <c r="T34" s="682"/>
      <c r="U34" s="682"/>
      <c r="V34" s="682"/>
      <c r="W34" s="682"/>
      <c r="X34" s="682"/>
      <c r="Y34" s="682"/>
      <c r="Z34" s="682"/>
      <c r="AA34" s="682"/>
      <c r="AB34" s="682"/>
      <c r="AC34" s="682"/>
      <c r="AD34" s="682"/>
      <c r="AE34" s="682"/>
      <c r="AF34" s="682"/>
      <c r="AG34" s="682"/>
      <c r="AH34" s="682"/>
      <c r="AI34" s="682"/>
      <c r="AJ34" s="5"/>
      <c r="AK34" s="5"/>
      <c r="AL34" s="5"/>
      <c r="AM34" s="162"/>
      <c r="AN34" s="214" t="s">
        <v>52</v>
      </c>
      <c r="AO34" s="214" t="s">
        <v>52</v>
      </c>
      <c r="AP34" s="214" t="s">
        <v>52</v>
      </c>
      <c r="AQ34" s="214" t="s">
        <v>52</v>
      </c>
      <c r="AR34" s="214" t="s">
        <v>52</v>
      </c>
      <c r="AS34" s="214" t="s">
        <v>52</v>
      </c>
      <c r="AT34" s="214" t="s">
        <v>52</v>
      </c>
      <c r="AU34" s="214" t="s">
        <v>52</v>
      </c>
      <c r="AV34" s="214" t="s">
        <v>52</v>
      </c>
      <c r="AW34" s="214" t="s">
        <v>52</v>
      </c>
      <c r="AX34" s="214" t="s">
        <v>52</v>
      </c>
      <c r="AY34" s="214" t="s">
        <v>52</v>
      </c>
      <c r="AZ34" s="214" t="s">
        <v>52</v>
      </c>
      <c r="BA34" s="214" t="s">
        <v>52</v>
      </c>
      <c r="BB34" s="214" t="s">
        <v>52</v>
      </c>
      <c r="BC34" s="214" t="s">
        <v>52</v>
      </c>
      <c r="BD34" s="214" t="s">
        <v>52</v>
      </c>
      <c r="BE34" s="214" t="s">
        <v>52</v>
      </c>
      <c r="BF34" s="214" t="s">
        <v>52</v>
      </c>
      <c r="BG34" s="214" t="s">
        <v>52</v>
      </c>
      <c r="BH34" s="214" t="s">
        <v>52</v>
      </c>
      <c r="BI34" s="214" t="s">
        <v>52</v>
      </c>
      <c r="BJ34" s="214" t="s">
        <v>52</v>
      </c>
      <c r="BK34" s="214" t="s">
        <v>52</v>
      </c>
      <c r="BL34" s="214" t="s">
        <v>52</v>
      </c>
      <c r="BM34" s="214" t="s">
        <v>52</v>
      </c>
      <c r="BN34" s="214" t="s">
        <v>52</v>
      </c>
      <c r="BO34" s="214" t="s">
        <v>52</v>
      </c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</row>
    <row r="35" spans="1:85">
      <c r="A35" s="5"/>
      <c r="B35" s="5" t="s">
        <v>205</v>
      </c>
      <c r="AJ35" s="5"/>
      <c r="AK35" s="5"/>
      <c r="AL35" s="5"/>
      <c r="AM35" s="26"/>
      <c r="AN35" s="206"/>
      <c r="AO35" s="206"/>
      <c r="AP35" s="206"/>
      <c r="AQ35" s="206"/>
      <c r="AR35" s="206"/>
      <c r="AS35" s="206"/>
      <c r="AT35" s="206"/>
      <c r="AU35" s="206"/>
      <c r="AV35" s="206"/>
      <c r="AW35" s="206"/>
      <c r="AX35" s="206"/>
      <c r="AY35" s="206"/>
      <c r="AZ35" s="206"/>
      <c r="BA35" s="206"/>
      <c r="BB35" s="206"/>
      <c r="BC35" s="206"/>
      <c r="BD35" s="206"/>
      <c r="BE35" s="206"/>
      <c r="BF35" s="206"/>
      <c r="BG35" s="206"/>
      <c r="BH35" s="206"/>
      <c r="BI35" s="206"/>
      <c r="BJ35" s="206"/>
      <c r="BK35" s="206"/>
      <c r="BL35" s="206"/>
      <c r="BM35" s="206"/>
      <c r="BN35" s="206"/>
      <c r="BO35" s="206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</row>
    <row r="36" spans="1:85" ht="13.2" customHeight="1">
      <c r="A36" s="5"/>
      <c r="B36" s="5" t="s">
        <v>206</v>
      </c>
      <c r="AJ36" s="5"/>
      <c r="AK36" s="5"/>
      <c r="AL36" s="5"/>
      <c r="AM36" s="25"/>
      <c r="AN36" s="214" t="s">
        <v>52</v>
      </c>
      <c r="AO36" s="214" t="s">
        <v>52</v>
      </c>
      <c r="AP36" s="214" t="s">
        <v>52</v>
      </c>
      <c r="AQ36" s="214" t="s">
        <v>52</v>
      </c>
      <c r="AR36" s="214" t="s">
        <v>52</v>
      </c>
      <c r="AS36" s="214" t="s">
        <v>52</v>
      </c>
      <c r="AT36" s="214" t="s">
        <v>52</v>
      </c>
      <c r="AU36" s="214" t="s">
        <v>52</v>
      </c>
      <c r="AV36" s="214" t="s">
        <v>52</v>
      </c>
      <c r="AW36" s="214" t="s">
        <v>52</v>
      </c>
      <c r="AX36" s="214" t="s">
        <v>52</v>
      </c>
      <c r="AY36" s="214" t="s">
        <v>52</v>
      </c>
      <c r="AZ36" s="214" t="s">
        <v>52</v>
      </c>
      <c r="BA36" s="214" t="s">
        <v>52</v>
      </c>
      <c r="BB36" s="214" t="s">
        <v>52</v>
      </c>
      <c r="BC36" s="214" t="s">
        <v>52</v>
      </c>
      <c r="BD36" s="214" t="s">
        <v>52</v>
      </c>
      <c r="BE36" s="214" t="s">
        <v>52</v>
      </c>
      <c r="BF36" s="214" t="s">
        <v>52</v>
      </c>
      <c r="BG36" s="214" t="s">
        <v>52</v>
      </c>
      <c r="BH36" s="214" t="s">
        <v>52</v>
      </c>
      <c r="BI36" s="214" t="s">
        <v>52</v>
      </c>
      <c r="BJ36" s="214" t="s">
        <v>52</v>
      </c>
      <c r="BK36" s="214" t="s">
        <v>52</v>
      </c>
      <c r="BL36" s="214" t="s">
        <v>52</v>
      </c>
      <c r="BM36" s="214" t="s">
        <v>52</v>
      </c>
      <c r="BN36" s="214" t="s">
        <v>52</v>
      </c>
      <c r="BO36" s="214" t="s">
        <v>52</v>
      </c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</row>
    <row r="37" spans="1:85" ht="10.5" customHeight="1">
      <c r="A37" s="5"/>
      <c r="B37" s="5"/>
      <c r="C37" s="647" t="s">
        <v>6</v>
      </c>
      <c r="D37" s="647"/>
      <c r="E37" s="647"/>
      <c r="F37" s="647"/>
      <c r="G37" s="647"/>
      <c r="H37" s="619" t="str">
        <f>H2</f>
        <v/>
      </c>
      <c r="I37" s="619"/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  <c r="W37" s="619"/>
      <c r="X37" s="619"/>
      <c r="Y37" s="619"/>
      <c r="Z37" s="619"/>
      <c r="AA37" s="619"/>
      <c r="AB37" s="647" t="s">
        <v>35</v>
      </c>
      <c r="AC37" s="647"/>
      <c r="AD37" s="644">
        <f>G3</f>
        <v>0</v>
      </c>
      <c r="AE37" s="644"/>
      <c r="AF37" s="644"/>
      <c r="AG37" s="644"/>
      <c r="AH37" s="644"/>
      <c r="AI37" s="644"/>
      <c r="AJ37" s="5"/>
      <c r="AK37" s="5"/>
      <c r="AL37" s="5"/>
      <c r="AM37" s="26"/>
      <c r="AN37" s="206"/>
      <c r="AO37" s="206"/>
      <c r="AP37" s="206"/>
      <c r="AQ37" s="206"/>
      <c r="AR37" s="206"/>
      <c r="AS37" s="206"/>
      <c r="AT37" s="206"/>
      <c r="AU37" s="206"/>
      <c r="AV37" s="206"/>
      <c r="AW37" s="206"/>
      <c r="AX37" s="206"/>
      <c r="AY37" s="206"/>
      <c r="AZ37" s="206"/>
      <c r="BA37" s="206"/>
      <c r="BB37" s="206"/>
      <c r="BC37" s="206"/>
      <c r="BD37" s="206"/>
      <c r="BE37" s="206"/>
      <c r="BF37" s="206"/>
      <c r="BG37" s="206"/>
      <c r="BH37" s="206"/>
      <c r="BI37" s="206"/>
      <c r="BJ37" s="206"/>
      <c r="BK37" s="206"/>
      <c r="BL37" s="206"/>
      <c r="BM37" s="206"/>
      <c r="BN37" s="206"/>
      <c r="BO37" s="206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</row>
    <row r="38" spans="1:85" ht="13.8" thickBot="1">
      <c r="A38" s="5"/>
      <c r="B38" s="5"/>
      <c r="C38" s="647" t="s">
        <v>94</v>
      </c>
      <c r="D38" s="647"/>
      <c r="E38" s="647"/>
      <c r="F38" s="647"/>
      <c r="G38" s="647"/>
      <c r="H38" s="619" t="str">
        <f>Y2</f>
        <v/>
      </c>
      <c r="I38" s="61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  <c r="W38" s="619"/>
      <c r="X38" s="619"/>
      <c r="Y38" s="621" t="s">
        <v>51</v>
      </c>
      <c r="Z38" s="621"/>
      <c r="AA38" s="619" t="str">
        <f>AB3</f>
        <v/>
      </c>
      <c r="AB38" s="619"/>
      <c r="AC38" s="619"/>
      <c r="AD38" s="619"/>
      <c r="AE38" s="619"/>
      <c r="AF38" s="619"/>
      <c r="AG38" s="619"/>
      <c r="AH38" s="619"/>
      <c r="AI38" s="619"/>
      <c r="AJ38" s="5"/>
      <c r="AK38" s="5"/>
      <c r="AL38" s="5"/>
      <c r="AM38" s="5"/>
      <c r="AN38" s="209">
        <v>24</v>
      </c>
      <c r="AO38" s="209">
        <v>23</v>
      </c>
      <c r="AP38" s="209">
        <v>22</v>
      </c>
      <c r="AQ38" s="209">
        <v>21</v>
      </c>
      <c r="AR38" s="209">
        <v>20</v>
      </c>
      <c r="AS38" s="209">
        <v>19</v>
      </c>
      <c r="AT38" s="209">
        <v>18</v>
      </c>
      <c r="AU38" s="209">
        <v>17</v>
      </c>
      <c r="AV38" s="209">
        <v>16</v>
      </c>
      <c r="AW38" s="209">
        <v>15</v>
      </c>
      <c r="AX38" s="209">
        <v>14</v>
      </c>
      <c r="AY38" s="209">
        <v>13</v>
      </c>
      <c r="AZ38" s="209">
        <v>12</v>
      </c>
      <c r="BA38" s="209">
        <v>11</v>
      </c>
      <c r="BB38" s="209">
        <v>10</v>
      </c>
      <c r="BC38" s="209">
        <v>9</v>
      </c>
      <c r="BD38" s="209">
        <v>8</v>
      </c>
      <c r="BE38" s="209">
        <v>7</v>
      </c>
      <c r="BF38" s="209">
        <v>6</v>
      </c>
      <c r="BG38" s="209">
        <v>5</v>
      </c>
      <c r="BH38" s="209">
        <v>4</v>
      </c>
      <c r="BI38" s="209">
        <v>3</v>
      </c>
      <c r="BJ38" s="209">
        <v>2</v>
      </c>
      <c r="BK38" s="209">
        <v>1</v>
      </c>
      <c r="BL38" s="209">
        <v>0</v>
      </c>
      <c r="BM38" s="209">
        <v>-2</v>
      </c>
      <c r="BN38" s="209">
        <v>-3</v>
      </c>
      <c r="BO38" s="209">
        <v>-4</v>
      </c>
      <c r="BP38" s="5"/>
      <c r="BQ38" s="583"/>
      <c r="BR38" s="5"/>
      <c r="BS38" s="5"/>
      <c r="BT38" s="364"/>
      <c r="BU38" s="206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</row>
    <row r="39" spans="1:85" ht="12.75" customHeight="1">
      <c r="A39" s="5"/>
      <c r="B39" s="5"/>
      <c r="C39" s="647" t="s">
        <v>85</v>
      </c>
      <c r="D39" s="647"/>
      <c r="E39" s="647"/>
      <c r="F39" s="647"/>
      <c r="G39" s="647"/>
      <c r="H39" s="619" t="str">
        <f>(B3&amp;", "&amp;B5)</f>
        <v>0, 0</v>
      </c>
      <c r="I39" s="619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21" t="s">
        <v>103</v>
      </c>
      <c r="W39" s="621"/>
      <c r="X39" s="621"/>
      <c r="Y39" s="619">
        <f>B6</f>
        <v>0</v>
      </c>
      <c r="Z39" s="619"/>
      <c r="AA39" s="619"/>
      <c r="AB39" s="619"/>
      <c r="AC39" s="619"/>
      <c r="AD39" s="619"/>
      <c r="AE39" s="619"/>
      <c r="AF39" s="619"/>
      <c r="AG39" s="619"/>
      <c r="AH39" s="619"/>
      <c r="AI39" s="619"/>
      <c r="AJ39" s="5"/>
      <c r="AK39" s="5"/>
      <c r="AL39" s="5"/>
      <c r="AM39" s="162" t="s">
        <v>82</v>
      </c>
      <c r="AN39" s="214" t="s">
        <v>52</v>
      </c>
      <c r="AO39" s="214" t="s">
        <v>52</v>
      </c>
      <c r="AP39" s="214" t="s">
        <v>52</v>
      </c>
      <c r="AQ39" s="214" t="s">
        <v>52</v>
      </c>
      <c r="AR39" s="214" t="s">
        <v>52</v>
      </c>
      <c r="AS39" s="214" t="s">
        <v>52</v>
      </c>
      <c r="AT39" s="324" t="str">
        <f>SUBSTITUTE(AT6,9091215,"HCSB",1)</f>
        <v>HCSB</v>
      </c>
      <c r="AU39" s="324" t="str">
        <f t="shared" ref="AU39:BE39" si="0">SUBSTITUTE(AU6,9091215,"HCSB",1)</f>
        <v>HCSB</v>
      </c>
      <c r="AV39" s="324" t="str">
        <f t="shared" si="0"/>
        <v>HCSB</v>
      </c>
      <c r="AW39" s="324" t="str">
        <f t="shared" si="0"/>
        <v>HCSB</v>
      </c>
      <c r="AX39" s="324" t="str">
        <f t="shared" si="0"/>
        <v>HCSB</v>
      </c>
      <c r="AY39" s="324" t="str">
        <f t="shared" si="0"/>
        <v>HCSB</v>
      </c>
      <c r="AZ39" s="324" t="str">
        <f t="shared" si="0"/>
        <v>HCSB</v>
      </c>
      <c r="BA39" s="324" t="str">
        <f t="shared" si="0"/>
        <v>HCSB</v>
      </c>
      <c r="BB39" s="324" t="str">
        <f t="shared" si="0"/>
        <v>HCSB</v>
      </c>
      <c r="BC39" s="324" t="str">
        <f t="shared" si="0"/>
        <v>HCSB</v>
      </c>
      <c r="BD39" s="324" t="str">
        <f t="shared" si="0"/>
        <v>HCSB</v>
      </c>
      <c r="BE39" s="324" t="str">
        <f t="shared" si="0"/>
        <v>HCSB</v>
      </c>
      <c r="BF39" s="324" t="str">
        <f t="shared" ref="BF39:BI39" si="1">SUBSTITUTE(BF6,9091216,"HCSMB",1)</f>
        <v>HCSMB</v>
      </c>
      <c r="BG39" s="324" t="str">
        <f t="shared" si="1"/>
        <v>HCSMB</v>
      </c>
      <c r="BH39" s="324" t="str">
        <f t="shared" si="1"/>
        <v>HCSMB</v>
      </c>
      <c r="BI39" s="324" t="str">
        <f t="shared" si="1"/>
        <v>HCSMB</v>
      </c>
      <c r="BJ39" s="324" t="str">
        <f t="shared" ref="BJ39:BL39" si="2">SUBSTITUTE(BJ6,9091216,"HCSMB",1)</f>
        <v>HCSMB</v>
      </c>
      <c r="BK39" s="324" t="str">
        <f t="shared" si="2"/>
        <v>HCSMB</v>
      </c>
      <c r="BL39" s="324" t="str">
        <f t="shared" si="2"/>
        <v>HCSMB</v>
      </c>
      <c r="BM39" s="324" t="str">
        <f>SUBSTITUTE(BM6,9091217,"HCSL",1)</f>
        <v>HCSL</v>
      </c>
      <c r="BN39" s="324" t="str">
        <f t="shared" ref="BN39:BO39" si="3">SUBSTITUTE(BN6,9091217,"HCSL",1)</f>
        <v>HCSL</v>
      </c>
      <c r="BO39" s="324" t="str">
        <f t="shared" si="3"/>
        <v>HCSL</v>
      </c>
      <c r="BP39" s="5"/>
      <c r="BQ39" s="583"/>
      <c r="BR39" s="5"/>
      <c r="BS39" s="5"/>
      <c r="BT39" s="364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</row>
    <row r="40" spans="1:85" ht="13.8" thickBot="1">
      <c r="A40" s="5"/>
      <c r="B40" s="5"/>
      <c r="C40" s="647" t="str">
        <f>IF(I33&lt;&gt;"","NOTE :","")</f>
        <v/>
      </c>
      <c r="D40" s="647"/>
      <c r="E40" s="647"/>
      <c r="F40" s="647"/>
      <c r="G40" s="647"/>
      <c r="H40" s="620" t="str">
        <f>IF(I33&lt;&gt;"",I33,"")</f>
        <v/>
      </c>
      <c r="I40" s="620"/>
      <c r="J40" s="620"/>
      <c r="K40" s="620"/>
      <c r="L40" s="620"/>
      <c r="M40" s="620"/>
      <c r="N40" s="620"/>
      <c r="O40" s="620"/>
      <c r="P40" s="620"/>
      <c r="Q40" s="620"/>
      <c r="R40" s="620"/>
      <c r="S40" s="620"/>
      <c r="T40" s="620"/>
      <c r="U40" s="620"/>
      <c r="V40" s="620"/>
      <c r="W40" s="620"/>
      <c r="X40" s="620"/>
      <c r="Y40" s="620"/>
      <c r="Z40" s="620"/>
      <c r="AA40" s="620"/>
      <c r="AB40" s="620"/>
      <c r="AC40" s="620"/>
      <c r="AD40" s="620"/>
      <c r="AE40" s="620"/>
      <c r="AF40" s="620"/>
      <c r="AG40" s="620"/>
      <c r="AH40" s="620"/>
      <c r="AI40" s="620"/>
      <c r="AJ40" s="5"/>
      <c r="AK40" s="5"/>
      <c r="AL40" s="5"/>
      <c r="AM40" s="369"/>
      <c r="AN40" s="206"/>
      <c r="AO40" s="206"/>
      <c r="AP40" s="206"/>
      <c r="AQ40" s="206"/>
      <c r="AR40" s="206"/>
      <c r="AS40" s="206"/>
      <c r="AT40" s="326"/>
      <c r="AU40" s="326"/>
      <c r="AV40" s="326"/>
      <c r="AW40" s="326"/>
      <c r="AX40" s="326"/>
      <c r="AY40" s="326"/>
      <c r="AZ40" s="326"/>
      <c r="BA40" s="326"/>
      <c r="BB40" s="326"/>
      <c r="BC40" s="326"/>
      <c r="BD40" s="326"/>
      <c r="BE40" s="326"/>
      <c r="BF40" s="326"/>
      <c r="BG40" s="326"/>
      <c r="BH40" s="326"/>
      <c r="BI40" s="326"/>
      <c r="BJ40" s="326"/>
      <c r="BK40" s="326"/>
      <c r="BL40" s="326"/>
      <c r="BM40" s="326"/>
      <c r="BN40" s="326"/>
      <c r="BO40" s="326"/>
      <c r="BP40" s="5"/>
      <c r="BQ40" s="583"/>
      <c r="BR40" s="206"/>
      <c r="BS40" s="5"/>
      <c r="BT40" s="364"/>
      <c r="BU40" s="206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</row>
    <row r="41" spans="1:85" ht="12.75" customHeight="1">
      <c r="A41" s="5"/>
      <c r="B41" s="5"/>
      <c r="C41" s="647"/>
      <c r="D41" s="647"/>
      <c r="E41" s="647"/>
      <c r="F41" s="647"/>
      <c r="G41" s="647"/>
      <c r="H41" s="620"/>
      <c r="I41" s="620"/>
      <c r="J41" s="620"/>
      <c r="K41" s="620"/>
      <c r="L41" s="620"/>
      <c r="M41" s="620"/>
      <c r="N41" s="620"/>
      <c r="O41" s="620"/>
      <c r="P41" s="620"/>
      <c r="Q41" s="620"/>
      <c r="R41" s="620"/>
      <c r="S41" s="620"/>
      <c r="T41" s="620"/>
      <c r="U41" s="620"/>
      <c r="V41" s="620"/>
      <c r="W41" s="620"/>
      <c r="X41" s="620"/>
      <c r="Y41" s="620"/>
      <c r="Z41" s="620"/>
      <c r="AA41" s="620"/>
      <c r="AB41" s="620"/>
      <c r="AC41" s="620"/>
      <c r="AD41" s="620"/>
      <c r="AE41" s="620"/>
      <c r="AF41" s="620"/>
      <c r="AG41" s="620"/>
      <c r="AH41" s="620"/>
      <c r="AI41" s="620"/>
      <c r="AJ41" s="5"/>
      <c r="AK41" s="5"/>
      <c r="AL41" s="579"/>
      <c r="AM41" s="370"/>
      <c r="AN41" s="214" t="s">
        <v>52</v>
      </c>
      <c r="AO41" s="214" t="s">
        <v>52</v>
      </c>
      <c r="AP41" s="214" t="s">
        <v>52</v>
      </c>
      <c r="AQ41" s="214" t="s">
        <v>52</v>
      </c>
      <c r="AR41" s="214" t="s">
        <v>52</v>
      </c>
      <c r="AS41" s="214" t="s">
        <v>52</v>
      </c>
      <c r="AT41" s="214" t="s">
        <v>52</v>
      </c>
      <c r="AU41" s="214" t="s">
        <v>52</v>
      </c>
      <c r="AV41" s="214" t="s">
        <v>52</v>
      </c>
      <c r="AW41" s="214" t="s">
        <v>52</v>
      </c>
      <c r="AX41" s="214" t="s">
        <v>52</v>
      </c>
      <c r="AY41" s="214" t="s">
        <v>52</v>
      </c>
      <c r="AZ41" s="214" t="s">
        <v>52</v>
      </c>
      <c r="BA41" s="214" t="s">
        <v>52</v>
      </c>
      <c r="BB41" s="214" t="s">
        <v>52</v>
      </c>
      <c r="BC41" s="214" t="s">
        <v>52</v>
      </c>
      <c r="BD41" s="214" t="s">
        <v>52</v>
      </c>
      <c r="BE41" s="214" t="s">
        <v>52</v>
      </c>
      <c r="BF41" s="214" t="s">
        <v>52</v>
      </c>
      <c r="BG41" s="214" t="s">
        <v>52</v>
      </c>
      <c r="BH41" s="214" t="s">
        <v>52</v>
      </c>
      <c r="BI41" s="214" t="s">
        <v>52</v>
      </c>
      <c r="BJ41" s="214" t="s">
        <v>52</v>
      </c>
      <c r="BK41" s="214" t="s">
        <v>52</v>
      </c>
      <c r="BL41" s="214" t="s">
        <v>52</v>
      </c>
      <c r="BM41" s="214" t="s">
        <v>52</v>
      </c>
      <c r="BN41" s="214" t="s">
        <v>52</v>
      </c>
      <c r="BO41" s="214" t="s">
        <v>52</v>
      </c>
      <c r="BP41" s="5"/>
      <c r="BQ41" s="583"/>
      <c r="BR41" s="5"/>
      <c r="BS41" s="5"/>
      <c r="BT41" s="364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</row>
    <row r="42" spans="1:85" ht="18" customHeight="1" thickBot="1">
      <c r="A42" s="5"/>
      <c r="B42" s="5"/>
      <c r="C42" s="730" t="s">
        <v>209</v>
      </c>
      <c r="D42" s="730"/>
      <c r="E42" s="730"/>
      <c r="F42" s="730"/>
      <c r="G42" s="730"/>
      <c r="H42" s="730"/>
      <c r="I42" s="730"/>
      <c r="J42" s="730"/>
      <c r="K42" s="730"/>
      <c r="L42" s="730"/>
      <c r="M42" s="730"/>
      <c r="N42" s="730"/>
      <c r="O42" s="730"/>
      <c r="P42" s="730"/>
      <c r="Q42" s="730"/>
      <c r="R42" s="730"/>
      <c r="S42" s="663" t="str">
        <f>IF('dati immagini'!G14&gt;0,"+lav. maniglia ad anta","")</f>
        <v/>
      </c>
      <c r="T42" s="664"/>
      <c r="U42" s="664"/>
      <c r="V42" s="679" t="str">
        <f>IF(SUM(V44:V48)&lt;&gt;0,"lav.fori cerniere o ASOLE ad anta","")</f>
        <v/>
      </c>
      <c r="W42" s="241"/>
      <c r="X42" s="241"/>
      <c r="Y42" s="241"/>
      <c r="Z42" s="629" t="str">
        <f>C34</f>
        <v>BOH</v>
      </c>
      <c r="AA42" s="629"/>
      <c r="AB42" s="629"/>
      <c r="AC42" s="629"/>
      <c r="AD42" s="629"/>
      <c r="AE42" s="629"/>
      <c r="AF42" s="629"/>
      <c r="AG42" s="629"/>
      <c r="AH42" s="629"/>
      <c r="AI42" s="629"/>
      <c r="AJ42" s="5"/>
      <c r="AK42" s="5"/>
      <c r="AL42" s="579"/>
      <c r="AM42" s="369"/>
      <c r="AN42" s="206"/>
      <c r="AO42" s="206"/>
      <c r="AP42" s="206"/>
      <c r="AQ42" s="206"/>
      <c r="AR42" s="206"/>
      <c r="AS42" s="206"/>
      <c r="AT42" s="206"/>
      <c r="AU42" s="206"/>
      <c r="AV42" s="206"/>
      <c r="AW42" s="206"/>
      <c r="AX42" s="206"/>
      <c r="AY42" s="206"/>
      <c r="AZ42" s="206"/>
      <c r="BA42" s="206"/>
      <c r="BB42" s="206"/>
      <c r="BC42" s="206"/>
      <c r="BD42" s="206"/>
      <c r="BE42" s="206"/>
      <c r="BF42" s="206"/>
      <c r="BG42" s="206"/>
      <c r="BH42" s="206"/>
      <c r="BI42" s="206"/>
      <c r="BJ42" s="206"/>
      <c r="BK42" s="206"/>
      <c r="BL42" s="206"/>
      <c r="BM42" s="206"/>
      <c r="BN42" s="206"/>
      <c r="BO42" s="206"/>
      <c r="BP42" s="5"/>
      <c r="BQ42" s="583"/>
      <c r="BR42" s="206"/>
      <c r="BS42" s="179" t="s">
        <v>2</v>
      </c>
      <c r="BT42" s="364"/>
      <c r="BU42" s="206" t="s">
        <v>341</v>
      </c>
      <c r="BV42" s="5" t="s">
        <v>342</v>
      </c>
      <c r="BW42" s="179" t="s">
        <v>318</v>
      </c>
      <c r="BX42" s="179"/>
      <c r="BY42" s="5" t="s">
        <v>341</v>
      </c>
      <c r="BZ42" s="5" t="s">
        <v>342</v>
      </c>
      <c r="CA42" s="179" t="s">
        <v>325</v>
      </c>
      <c r="CB42" s="179"/>
      <c r="CC42" s="5"/>
      <c r="CD42" s="5"/>
      <c r="CE42" s="5"/>
      <c r="CF42" s="5"/>
      <c r="CG42" s="5"/>
    </row>
    <row r="43" spans="1:85" ht="14.4" customHeight="1">
      <c r="A43" s="5"/>
      <c r="B43" s="242" t="s">
        <v>109</v>
      </c>
      <c r="C43" s="627" t="s">
        <v>105</v>
      </c>
      <c r="D43" s="627"/>
      <c r="E43" s="627"/>
      <c r="F43" s="627" t="s">
        <v>104</v>
      </c>
      <c r="G43" s="627"/>
      <c r="H43" s="627" t="s">
        <v>13</v>
      </c>
      <c r="I43" s="627"/>
      <c r="J43" s="627"/>
      <c r="K43" s="627" t="s">
        <v>14</v>
      </c>
      <c r="L43" s="685"/>
      <c r="M43" s="685"/>
      <c r="N43" s="627" t="s">
        <v>96</v>
      </c>
      <c r="O43" s="627"/>
      <c r="P43" s="627"/>
      <c r="Q43" s="627"/>
      <c r="R43" s="731"/>
      <c r="S43" s="665"/>
      <c r="T43" s="666"/>
      <c r="U43" s="666"/>
      <c r="V43" s="680"/>
      <c r="W43" s="592" t="s">
        <v>162</v>
      </c>
      <c r="X43" s="622"/>
      <c r="Y43" s="622"/>
      <c r="Z43" s="622"/>
      <c r="AA43" s="622"/>
      <c r="AB43" s="622"/>
      <c r="AC43" s="622" t="str">
        <f>IF('dati immagini'!G14&gt;0,"€ cad.","")</f>
        <v/>
      </c>
      <c r="AD43" s="622"/>
      <c r="AE43" s="622"/>
      <c r="AF43" s="622"/>
      <c r="AG43" s="734" t="s">
        <v>234</v>
      </c>
      <c r="AH43" s="735"/>
      <c r="AI43" s="735"/>
      <c r="AJ43" s="206" t="s">
        <v>214</v>
      </c>
      <c r="AK43" s="206"/>
      <c r="AL43" s="579"/>
      <c r="AM43" s="370" t="s">
        <v>107</v>
      </c>
      <c r="AN43" s="214" t="s">
        <v>52</v>
      </c>
      <c r="AO43" s="214" t="s">
        <v>52</v>
      </c>
      <c r="AP43" s="214" t="s">
        <v>52</v>
      </c>
      <c r="AQ43" s="324" t="str">
        <f>SUBSTITUTE(AQ10,9091215,"HCSB",1)</f>
        <v>HCSB</v>
      </c>
      <c r="AR43" s="324" t="str">
        <f t="shared" ref="AR43:BB43" si="4">SUBSTITUTE(AR10,9091215,"HCSB",1)</f>
        <v>HCSB</v>
      </c>
      <c r="AS43" s="324" t="str">
        <f t="shared" si="4"/>
        <v>HCSB</v>
      </c>
      <c r="AT43" s="324" t="str">
        <f t="shared" si="4"/>
        <v>HCSB</v>
      </c>
      <c r="AU43" s="324" t="str">
        <f t="shared" si="4"/>
        <v>HCSB</v>
      </c>
      <c r="AV43" s="324" t="str">
        <f t="shared" si="4"/>
        <v>HCSB</v>
      </c>
      <c r="AW43" s="324" t="str">
        <f t="shared" si="4"/>
        <v>HCSB</v>
      </c>
      <c r="AX43" s="324" t="str">
        <f t="shared" si="4"/>
        <v>HCSB</v>
      </c>
      <c r="AY43" s="324" t="str">
        <f t="shared" si="4"/>
        <v>HCSB</v>
      </c>
      <c r="AZ43" s="324" t="str">
        <f t="shared" si="4"/>
        <v>HCSB</v>
      </c>
      <c r="BA43" s="324" t="str">
        <f t="shared" si="4"/>
        <v>HCSB</v>
      </c>
      <c r="BB43" s="324" t="str">
        <f t="shared" si="4"/>
        <v>HCSB</v>
      </c>
      <c r="BC43" s="324" t="str">
        <f t="shared" ref="BC43:BG43" si="5">SUBSTITUTE(BC10,9091216,"HCSMB",1)</f>
        <v>HCSMB</v>
      </c>
      <c r="BD43" s="324" t="str">
        <f t="shared" si="5"/>
        <v>HCSMB</v>
      </c>
      <c r="BE43" s="324" t="str">
        <f t="shared" si="5"/>
        <v>HCSMB</v>
      </c>
      <c r="BF43" s="324" t="str">
        <f t="shared" si="5"/>
        <v>HCSMB</v>
      </c>
      <c r="BG43" s="324" t="str">
        <f t="shared" si="5"/>
        <v>HCSMB</v>
      </c>
      <c r="BH43" s="324" t="str">
        <f t="shared" ref="BH43:BL43" si="6">SUBSTITUTE(BH10,9091216,"HCSMB",1)</f>
        <v>HCSMB</v>
      </c>
      <c r="BI43" s="324" t="str">
        <f t="shared" si="6"/>
        <v>HCSMB</v>
      </c>
      <c r="BJ43" s="324" t="str">
        <f t="shared" si="6"/>
        <v>HCSMB</v>
      </c>
      <c r="BK43" s="324" t="str">
        <f t="shared" si="6"/>
        <v>HCSMB</v>
      </c>
      <c r="BL43" s="324" t="str">
        <f t="shared" si="6"/>
        <v>HCSMB</v>
      </c>
      <c r="BM43" s="324" t="str">
        <f>SUBSTITUTE(BM10,9091217,"HCSL",1)</f>
        <v>HCSL</v>
      </c>
      <c r="BN43" s="324" t="str">
        <f t="shared" ref="BN43:BO43" si="7">SUBSTITUTE(BN10,9091217,"HCSL",1)</f>
        <v>HCSL</v>
      </c>
      <c r="BO43" s="324" t="str">
        <f t="shared" si="7"/>
        <v>HCSL</v>
      </c>
      <c r="BP43" s="5"/>
      <c r="BQ43" s="583"/>
      <c r="BR43" s="5"/>
      <c r="BS43" s="365">
        <v>9094000</v>
      </c>
      <c r="BT43" s="361" t="s">
        <v>294</v>
      </c>
      <c r="BU43" s="365">
        <v>3.36</v>
      </c>
      <c r="BV43" s="5"/>
      <c r="BW43" s="365">
        <v>9071670</v>
      </c>
      <c r="BX43" s="361" t="s">
        <v>287</v>
      </c>
      <c r="BY43" s="365">
        <v>0.56999999999999995</v>
      </c>
      <c r="BZ43" s="5"/>
      <c r="CA43" s="365">
        <v>9289695</v>
      </c>
      <c r="CB43" s="361" t="s">
        <v>326</v>
      </c>
      <c r="CC43" s="365">
        <v>0.21</v>
      </c>
      <c r="CD43" s="5"/>
      <c r="CE43" s="5"/>
      <c r="CF43" s="5"/>
      <c r="CG43" s="5"/>
    </row>
    <row r="44" spans="1:85" ht="13.5" customHeight="1" thickBot="1">
      <c r="A44" s="5"/>
      <c r="B44" s="243">
        <f>((H44+K44)*2*0.000604)+(H44*K44*0.00001)</f>
        <v>0</v>
      </c>
      <c r="C44" s="627" t="s">
        <v>8</v>
      </c>
      <c r="D44" s="685"/>
      <c r="E44" s="685"/>
      <c r="F44" s="622">
        <f>B8</f>
        <v>0</v>
      </c>
      <c r="G44" s="622"/>
      <c r="H44" s="622">
        <f>B9</f>
        <v>0</v>
      </c>
      <c r="I44" s="622"/>
      <c r="J44" s="622"/>
      <c r="K44" s="622">
        <f>B10</f>
        <v>0</v>
      </c>
      <c r="L44" s="622"/>
      <c r="M44" s="622"/>
      <c r="N44" s="628">
        <f>IF(F44&gt;0,DATI!H26,0)*1.05</f>
        <v>0</v>
      </c>
      <c r="O44" s="628"/>
      <c r="P44" s="628"/>
      <c r="Q44" s="628"/>
      <c r="R44" s="628"/>
      <c r="S44" s="729">
        <f>IF(AND($Z44&lt;&gt;"",$Z44&lt;&gt;"AX25"),LOOKUP(Z44,DATI!$T$57:$U$63,DATI!$U$57:$U$63)*1.05,0)</f>
        <v>0</v>
      </c>
      <c r="T44" s="729"/>
      <c r="U44" s="729"/>
      <c r="V44" s="244">
        <f>IF(AND($F51&gt;0,DATI!$H$10=0),2*F51*1.05,IF(AND($F51&gt;0,DATI!$H$10&lt;&gt;0),1.3*F51*1.05,0))</f>
        <v>0</v>
      </c>
      <c r="W44" s="627" t="str">
        <f>IF(Y8&gt;0,Y8,"")</f>
        <v/>
      </c>
      <c r="X44" s="627"/>
      <c r="Y44" s="245" t="str">
        <f>IF(AA8&gt;0,AA8,"")</f>
        <v/>
      </c>
      <c r="Z44" s="630" t="str">
        <f>IF(MODULO!$AX$35&lt;&gt;"",MODULO!$AX$35,"")</f>
        <v/>
      </c>
      <c r="AA44" s="630"/>
      <c r="AB44" s="630"/>
      <c r="AC44" s="631">
        <f>IF(AND($Z44&lt;&gt;"",$Z44&lt;&gt;"maniglia AX24"),INDEX(DATI!$V$56:$AE$63,MATCH($Z44,DATI!$V$56:$V$63,0),MATCH(CARTELLINO!$B$5,DATI!$V$56:$AE$56,0))*1.05,0)</f>
        <v>0</v>
      </c>
      <c r="AD44" s="631"/>
      <c r="AE44" s="631"/>
      <c r="AF44" s="631"/>
      <c r="AG44" s="736">
        <f>SUM(N44+S44+V44+AC44+S51+Y51+Q58)</f>
        <v>0</v>
      </c>
      <c r="AH44" s="737"/>
      <c r="AI44" s="737"/>
      <c r="AJ44" s="206" t="str">
        <f>IF('dati immagini'!G14&gt;0,'dati immagini'!G14,"")</f>
        <v/>
      </c>
      <c r="AK44" s="206"/>
      <c r="AL44" s="579"/>
      <c r="AM44" s="369"/>
      <c r="AN44" s="206"/>
      <c r="AO44" s="206"/>
      <c r="AP44" s="206"/>
      <c r="AQ44" s="326"/>
      <c r="AR44" s="326"/>
      <c r="AS44" s="326"/>
      <c r="AT44" s="326"/>
      <c r="AU44" s="326"/>
      <c r="AV44" s="326"/>
      <c r="AW44" s="326"/>
      <c r="AX44" s="326"/>
      <c r="AY44" s="326"/>
      <c r="AZ44" s="326"/>
      <c r="BA44" s="326"/>
      <c r="BB44" s="326"/>
      <c r="BC44" s="326"/>
      <c r="BD44" s="326"/>
      <c r="BE44" s="326"/>
      <c r="BF44" s="326"/>
      <c r="BG44" s="326"/>
      <c r="BH44" s="326"/>
      <c r="BI44" s="326"/>
      <c r="BJ44" s="326"/>
      <c r="BK44" s="326"/>
      <c r="BL44" s="326"/>
      <c r="BM44" s="326"/>
      <c r="BN44" s="326"/>
      <c r="BO44" s="326"/>
      <c r="BP44" s="5"/>
      <c r="BQ44" s="583"/>
      <c r="BR44" s="206"/>
      <c r="BS44" s="365">
        <v>9094010</v>
      </c>
      <c r="BT44" s="361" t="s">
        <v>295</v>
      </c>
      <c r="BU44" s="365">
        <v>3.5</v>
      </c>
      <c r="BV44" s="5"/>
      <c r="BW44" s="365">
        <v>9071672</v>
      </c>
      <c r="BX44" s="361" t="s">
        <v>288</v>
      </c>
      <c r="BY44" s="365">
        <v>0.63</v>
      </c>
      <c r="BZ44" s="5"/>
      <c r="CA44" s="5"/>
      <c r="CB44" s="5"/>
      <c r="CC44" s="5"/>
      <c r="CD44" s="5"/>
      <c r="CE44" s="5"/>
      <c r="CF44" s="5"/>
      <c r="CG44" s="5"/>
    </row>
    <row r="45" spans="1:85" ht="12.75" customHeight="1">
      <c r="A45" s="5"/>
      <c r="B45" s="243">
        <f t="shared" ref="B45:B48" si="8">((H45+K45)*2*0.000604)+(H45*K45*0.00001)</f>
        <v>0</v>
      </c>
      <c r="C45" s="627" t="s">
        <v>10</v>
      </c>
      <c r="D45" s="685"/>
      <c r="E45" s="685"/>
      <c r="F45" s="622">
        <f>B13</f>
        <v>0</v>
      </c>
      <c r="G45" s="622"/>
      <c r="H45" s="622">
        <f>B14</f>
        <v>0</v>
      </c>
      <c r="I45" s="622"/>
      <c r="J45" s="622"/>
      <c r="K45" s="622">
        <f>B15</f>
        <v>0</v>
      </c>
      <c r="L45" s="622"/>
      <c r="M45" s="622"/>
      <c r="N45" s="628">
        <f>IF(F45&gt;0,DATI!H27,0)*1.05</f>
        <v>0</v>
      </c>
      <c r="O45" s="628"/>
      <c r="P45" s="628"/>
      <c r="Q45" s="628"/>
      <c r="R45" s="628"/>
      <c r="S45" s="729">
        <f>IF(AND($Z45&lt;&gt;"",$Z45&lt;&gt;"AX25"),LOOKUP(Z45,DATI!$T$57:$U$63,DATI!$U$57:$U$63)*1.05,0)</f>
        <v>0</v>
      </c>
      <c r="T45" s="729"/>
      <c r="U45" s="729"/>
      <c r="V45" s="244">
        <f>IF(AND($F52&gt;0,DATI!$H$10=0),2*F52*1.05,IF(AND($F52&gt;0,DATI!$H$10&lt;&gt;0),1.3*F52*1.05,0))</f>
        <v>0</v>
      </c>
      <c r="W45" s="627" t="str">
        <f>IF(Y13&gt;0,Y13,"")</f>
        <v/>
      </c>
      <c r="X45" s="627"/>
      <c r="Y45" s="245" t="str">
        <f>IF(AA13&gt;0,AA13,"")</f>
        <v/>
      </c>
      <c r="Z45" s="630" t="str">
        <f>IF(MODULO!$BK$35&lt;&gt;"",MODULO!$BK$35,"")</f>
        <v/>
      </c>
      <c r="AA45" s="630"/>
      <c r="AB45" s="630"/>
      <c r="AC45" s="631">
        <f>IF(AND($Z45&lt;&gt;"",$Z45&lt;&gt;"maniglia AX24"),INDEX(DATI!$V$56:$AE$63,MATCH($Z45,DATI!$V$56:$V$63,0),MATCH(CARTELLINO!$B$5,DATI!$V$56:$AE$56,0))*1.05,0)</f>
        <v>0</v>
      </c>
      <c r="AD45" s="631"/>
      <c r="AE45" s="631"/>
      <c r="AF45" s="631"/>
      <c r="AG45" s="736">
        <f t="shared" ref="AG45:AG48" si="9">SUM(N45+S45+V45+AC45+S52+Y52+Q59)</f>
        <v>0</v>
      </c>
      <c r="AH45" s="737"/>
      <c r="AI45" s="737"/>
      <c r="AJ45" s="5"/>
      <c r="AK45" s="5"/>
      <c r="AL45" s="214"/>
      <c r="AM45" s="370"/>
      <c r="AN45" s="214" t="s">
        <v>52</v>
      </c>
      <c r="AO45" s="214" t="s">
        <v>52</v>
      </c>
      <c r="AP45" s="214" t="s">
        <v>52</v>
      </c>
      <c r="AQ45" s="214" t="s">
        <v>52</v>
      </c>
      <c r="AR45" s="214" t="s">
        <v>52</v>
      </c>
      <c r="AS45" s="214" t="s">
        <v>52</v>
      </c>
      <c r="AT45" s="214" t="s">
        <v>52</v>
      </c>
      <c r="AU45" s="214" t="s">
        <v>52</v>
      </c>
      <c r="AV45" s="214" t="s">
        <v>52</v>
      </c>
      <c r="AW45" s="214" t="s">
        <v>52</v>
      </c>
      <c r="AX45" s="214" t="s">
        <v>52</v>
      </c>
      <c r="AY45" s="214" t="s">
        <v>52</v>
      </c>
      <c r="AZ45" s="214" t="s">
        <v>52</v>
      </c>
      <c r="BA45" s="214" t="s">
        <v>52</v>
      </c>
      <c r="BB45" s="214" t="s">
        <v>52</v>
      </c>
      <c r="BC45" s="214" t="s">
        <v>52</v>
      </c>
      <c r="BD45" s="214" t="s">
        <v>52</v>
      </c>
      <c r="BE45" s="214" t="s">
        <v>52</v>
      </c>
      <c r="BF45" s="214" t="s">
        <v>52</v>
      </c>
      <c r="BG45" s="214" t="s">
        <v>52</v>
      </c>
      <c r="BH45" s="221" t="s">
        <v>52</v>
      </c>
      <c r="BI45" s="221" t="s">
        <v>52</v>
      </c>
      <c r="BJ45" s="221" t="s">
        <v>52</v>
      </c>
      <c r="BK45" s="221" t="s">
        <v>52</v>
      </c>
      <c r="BL45" s="221" t="s">
        <v>52</v>
      </c>
      <c r="BM45" s="221" t="s">
        <v>52</v>
      </c>
      <c r="BN45" s="221" t="s">
        <v>52</v>
      </c>
      <c r="BO45" s="221" t="s">
        <v>52</v>
      </c>
      <c r="BP45" s="5"/>
      <c r="BQ45" s="583"/>
      <c r="BR45" s="5"/>
      <c r="BS45" s="365">
        <v>9094290</v>
      </c>
      <c r="BT45" s="361" t="s">
        <v>296</v>
      </c>
      <c r="BU45" s="365">
        <v>3.95</v>
      </c>
      <c r="BV45" s="5"/>
      <c r="BW45" s="365">
        <v>9075088</v>
      </c>
      <c r="BX45" s="361" t="s">
        <v>289</v>
      </c>
      <c r="BY45" s="365">
        <v>0.77</v>
      </c>
      <c r="BZ45" s="5"/>
      <c r="CA45" s="5"/>
      <c r="CB45" s="5"/>
      <c r="CC45" s="5"/>
      <c r="CD45" s="5"/>
      <c r="CE45" s="5"/>
      <c r="CF45" s="5"/>
      <c r="CG45" s="5"/>
    </row>
    <row r="46" spans="1:85" ht="13.5" customHeight="1" thickBot="1">
      <c r="A46" s="5"/>
      <c r="B46" s="243">
        <f t="shared" si="8"/>
        <v>0</v>
      </c>
      <c r="C46" s="627" t="s">
        <v>11</v>
      </c>
      <c r="D46" s="685"/>
      <c r="E46" s="685"/>
      <c r="F46" s="622">
        <f>B18</f>
        <v>0</v>
      </c>
      <c r="G46" s="622"/>
      <c r="H46" s="622">
        <f>B19</f>
        <v>0</v>
      </c>
      <c r="I46" s="622"/>
      <c r="J46" s="622"/>
      <c r="K46" s="622">
        <f>B20</f>
        <v>0</v>
      </c>
      <c r="L46" s="622"/>
      <c r="M46" s="622"/>
      <c r="N46" s="628">
        <f>IF(F46&gt;0,DATI!H28,0)*1.05</f>
        <v>0</v>
      </c>
      <c r="O46" s="628"/>
      <c r="P46" s="628"/>
      <c r="Q46" s="628"/>
      <c r="R46" s="628"/>
      <c r="S46" s="729">
        <f>IF(AND($Z46&lt;&gt;"",$Z46&lt;&gt;"AX25"),LOOKUP(Z46,DATI!$T$57:$U$63,DATI!$U$57:$U$63)*1.05,0)</f>
        <v>0</v>
      </c>
      <c r="T46" s="729"/>
      <c r="U46" s="729"/>
      <c r="V46" s="244">
        <f>IF(AND($F53&gt;0,DATI!$H$10=0),2*F53*1.05,IF(AND($F53&gt;0,DATI!$H$10&lt;&gt;0),1.3*F53*1.05,0))</f>
        <v>0</v>
      </c>
      <c r="W46" s="627" t="str">
        <f>IF(Y18&gt;0,Y18,"")</f>
        <v/>
      </c>
      <c r="X46" s="627"/>
      <c r="Y46" s="245" t="str">
        <f>IF(AA18&gt;0,AA18,"")</f>
        <v/>
      </c>
      <c r="Z46" s="630" t="str">
        <f>IF(MODULO!$BX$35&lt;&gt;"",MODULO!$BX$35,"")</f>
        <v/>
      </c>
      <c r="AA46" s="630"/>
      <c r="AB46" s="630"/>
      <c r="AC46" s="631">
        <f>IF(AND($Z46&lt;&gt;"",$Z46&lt;&gt;"maniglia AX24"),INDEX(DATI!$V$56:$AE$63,MATCH($Z46,DATI!$V$56:$V$63,0),MATCH(CARTELLINO!$B$5,DATI!$V$56:$AE$56,0))*1.05,0)</f>
        <v>0</v>
      </c>
      <c r="AD46" s="631"/>
      <c r="AE46" s="631"/>
      <c r="AF46" s="631"/>
      <c r="AG46" s="736">
        <f t="shared" si="9"/>
        <v>0</v>
      </c>
      <c r="AH46" s="737"/>
      <c r="AI46" s="737"/>
      <c r="AJ46" s="5"/>
      <c r="AK46" s="5"/>
      <c r="AL46" s="579"/>
      <c r="AM46" s="369"/>
      <c r="AN46" s="206"/>
      <c r="AO46" s="206"/>
      <c r="AP46" s="206"/>
      <c r="AQ46" s="206"/>
      <c r="AR46" s="206"/>
      <c r="AS46" s="206"/>
      <c r="AT46" s="206"/>
      <c r="AU46" s="206"/>
      <c r="AV46" s="206"/>
      <c r="AW46" s="206"/>
      <c r="AX46" s="206"/>
      <c r="AY46" s="206"/>
      <c r="AZ46" s="206"/>
      <c r="BA46" s="206"/>
      <c r="BB46" s="206"/>
      <c r="BC46" s="206"/>
      <c r="BD46" s="206"/>
      <c r="BE46" s="206"/>
      <c r="BF46" s="206"/>
      <c r="BG46" s="206"/>
      <c r="BH46" s="225"/>
      <c r="BI46" s="225"/>
      <c r="BJ46" s="225"/>
      <c r="BK46" s="225"/>
      <c r="BL46" s="225"/>
      <c r="BM46" s="225"/>
      <c r="BN46" s="225"/>
      <c r="BO46" s="225"/>
      <c r="BP46" s="5"/>
      <c r="BQ46" s="583"/>
      <c r="BR46" s="206"/>
      <c r="BS46" s="366">
        <v>9091761</v>
      </c>
      <c r="BT46" s="362" t="s">
        <v>320</v>
      </c>
      <c r="BU46" s="366">
        <v>4.0199999999999996</v>
      </c>
      <c r="BV46" s="5"/>
      <c r="BW46" s="367">
        <v>9308024</v>
      </c>
      <c r="BX46" s="363" t="s">
        <v>322</v>
      </c>
      <c r="BY46" s="367">
        <v>0.67</v>
      </c>
      <c r="BZ46" s="5"/>
      <c r="CA46" s="5"/>
      <c r="CB46" s="5"/>
      <c r="CC46" s="5"/>
      <c r="CD46" s="5"/>
      <c r="CE46" s="5"/>
      <c r="CF46" s="5"/>
      <c r="CG46" s="5"/>
    </row>
    <row r="47" spans="1:85" ht="12.75" customHeight="1">
      <c r="A47" s="5"/>
      <c r="B47" s="243">
        <f t="shared" si="8"/>
        <v>0</v>
      </c>
      <c r="C47" s="627" t="s">
        <v>9</v>
      </c>
      <c r="D47" s="685"/>
      <c r="E47" s="685"/>
      <c r="F47" s="622">
        <f>B23</f>
        <v>0</v>
      </c>
      <c r="G47" s="622"/>
      <c r="H47" s="622">
        <f>B24</f>
        <v>0</v>
      </c>
      <c r="I47" s="622"/>
      <c r="J47" s="622"/>
      <c r="K47" s="622">
        <f>B25</f>
        <v>0</v>
      </c>
      <c r="L47" s="622"/>
      <c r="M47" s="622"/>
      <c r="N47" s="628">
        <f>IF(F47&gt;0,DATI!H29,0)*1.05</f>
        <v>0</v>
      </c>
      <c r="O47" s="628"/>
      <c r="P47" s="628"/>
      <c r="Q47" s="628"/>
      <c r="R47" s="628"/>
      <c r="S47" s="729">
        <f>IF(AND($Z47&lt;&gt;"",$Z47&lt;&gt;"AX25"),LOOKUP(Z47,DATI!$T$57:$U$63,DATI!$U$57:$U$63)*1.05,0)</f>
        <v>0</v>
      </c>
      <c r="T47" s="729"/>
      <c r="U47" s="729"/>
      <c r="V47" s="244">
        <f>IF(AND($F54&gt;0,DATI!$H$10=0),2*F54*1.05,IF(AND($F54&gt;0,DATI!$H$10&lt;&gt;0),1.3*F54*1.05,0))</f>
        <v>0</v>
      </c>
      <c r="W47" s="627" t="str">
        <f>IF(Y23&gt;0,Y23,"")</f>
        <v/>
      </c>
      <c r="X47" s="627"/>
      <c r="Y47" s="245" t="str">
        <f>IF(AA23&gt;0,AA23,"")</f>
        <v/>
      </c>
      <c r="Z47" s="630" t="str">
        <f>IF(MODULO!$AX$71&lt;&gt;"",MODULO!$AX$71,"")</f>
        <v/>
      </c>
      <c r="AA47" s="630"/>
      <c r="AB47" s="630"/>
      <c r="AC47" s="631">
        <f>IF(AND($Z47&lt;&gt;"",$Z47&lt;&gt;"maniglia AX24"),INDEX(DATI!$V$56:$AE$63,MATCH($Z47,DATI!$V$56:$V$63,0),MATCH(CARTELLINO!$B$5,DATI!$V$56:$AE$56,0))*1.05,0)</f>
        <v>0</v>
      </c>
      <c r="AD47" s="631"/>
      <c r="AE47" s="631"/>
      <c r="AF47" s="631"/>
      <c r="AG47" s="736">
        <f t="shared" si="9"/>
        <v>0</v>
      </c>
      <c r="AH47" s="737"/>
      <c r="AI47" s="737"/>
      <c r="AJ47" s="5"/>
      <c r="AK47" s="5"/>
      <c r="AL47" s="579"/>
      <c r="AM47" s="370" t="s">
        <v>73</v>
      </c>
      <c r="AN47" s="214" t="s">
        <v>52</v>
      </c>
      <c r="AO47" s="214" t="s">
        <v>52</v>
      </c>
      <c r="AP47" s="214" t="s">
        <v>52</v>
      </c>
      <c r="AQ47" s="324" t="str">
        <f>SUBSTITUTE(AQ14,9091215,"HCSB",1)</f>
        <v>HCSB</v>
      </c>
      <c r="AR47" s="324" t="str">
        <f t="shared" ref="AR47:BB47" si="10">SUBSTITUTE(AR14,9091215,"HCSB",1)</f>
        <v>HCSB</v>
      </c>
      <c r="AS47" s="324" t="str">
        <f t="shared" si="10"/>
        <v>HCSB</v>
      </c>
      <c r="AT47" s="324" t="str">
        <f t="shared" si="10"/>
        <v>HCSB</v>
      </c>
      <c r="AU47" s="324" t="str">
        <f t="shared" si="10"/>
        <v>HCSB</v>
      </c>
      <c r="AV47" s="324" t="str">
        <f t="shared" si="10"/>
        <v>HCSB</v>
      </c>
      <c r="AW47" s="324" t="str">
        <f t="shared" si="10"/>
        <v>HCSB</v>
      </c>
      <c r="AX47" s="324" t="str">
        <f t="shared" si="10"/>
        <v>HCSB</v>
      </c>
      <c r="AY47" s="324" t="str">
        <f t="shared" si="10"/>
        <v>HCSB</v>
      </c>
      <c r="AZ47" s="324" t="str">
        <f t="shared" si="10"/>
        <v>HCSB</v>
      </c>
      <c r="BA47" s="324" t="str">
        <f t="shared" si="10"/>
        <v>HCSB</v>
      </c>
      <c r="BB47" s="324" t="str">
        <f t="shared" si="10"/>
        <v>HCSB</v>
      </c>
      <c r="BC47" s="324" t="str">
        <f>SUBSTITUTE(BC14,9072525,"HVCAMB",1)</f>
        <v>HVCAMB</v>
      </c>
      <c r="BD47" s="324" t="str">
        <f t="shared" ref="BD47:BL47" si="11">SUBSTITUTE(BD14,9072525,"HVCAMB",1)</f>
        <v>HVCAMB</v>
      </c>
      <c r="BE47" s="324" t="str">
        <f t="shared" si="11"/>
        <v>HVCAMB</v>
      </c>
      <c r="BF47" s="324" t="str">
        <f t="shared" si="11"/>
        <v>HVCAMB</v>
      </c>
      <c r="BG47" s="324" t="str">
        <f t="shared" si="11"/>
        <v>HVCAMB</v>
      </c>
      <c r="BH47" s="324" t="str">
        <f t="shared" si="11"/>
        <v>HVCAMB</v>
      </c>
      <c r="BI47" s="324" t="str">
        <f t="shared" si="11"/>
        <v>HVCAMB</v>
      </c>
      <c r="BJ47" s="324" t="str">
        <f t="shared" si="11"/>
        <v>HVCAMB</v>
      </c>
      <c r="BK47" s="324" t="str">
        <f t="shared" si="11"/>
        <v>HVCAMB</v>
      </c>
      <c r="BL47" s="324" t="str">
        <f t="shared" si="11"/>
        <v>HVCAMB</v>
      </c>
      <c r="BM47" s="324" t="str">
        <f>SUBSTITUTE(BM14,9072526,"HVCAL",1)</f>
        <v>HVCAL</v>
      </c>
      <c r="BN47" s="324" t="str">
        <f t="shared" ref="BN47:BO47" si="12">SUBSTITUTE(BN14,9072526,"HVCAL",1)</f>
        <v>HVCAL</v>
      </c>
      <c r="BO47" s="324" t="str">
        <f t="shared" si="12"/>
        <v>HVCAL</v>
      </c>
      <c r="BP47" s="5"/>
      <c r="BQ47" s="583"/>
      <c r="BR47" s="5"/>
      <c r="BS47" s="366">
        <v>9091762</v>
      </c>
      <c r="BT47" s="362" t="s">
        <v>321</v>
      </c>
      <c r="BU47" s="366">
        <v>4.2</v>
      </c>
      <c r="BV47" s="5"/>
      <c r="BW47" s="367">
        <v>9308036</v>
      </c>
      <c r="BX47" s="363" t="s">
        <v>323</v>
      </c>
      <c r="BY47" s="367">
        <v>0.74</v>
      </c>
      <c r="BZ47" s="5"/>
      <c r="CA47" s="5"/>
      <c r="CB47" s="5"/>
      <c r="CC47" s="5"/>
      <c r="CD47" s="5"/>
      <c r="CE47" s="5"/>
      <c r="CF47" s="5"/>
      <c r="CG47" s="5"/>
    </row>
    <row r="48" spans="1:85" ht="13.5" customHeight="1" thickBot="1">
      <c r="A48" s="5"/>
      <c r="B48" s="243">
        <f t="shared" si="8"/>
        <v>0</v>
      </c>
      <c r="C48" s="627" t="s">
        <v>12</v>
      </c>
      <c r="D48" s="685"/>
      <c r="E48" s="685"/>
      <c r="F48" s="622">
        <f>B28</f>
        <v>0</v>
      </c>
      <c r="G48" s="622"/>
      <c r="H48" s="622">
        <f>B29</f>
        <v>0</v>
      </c>
      <c r="I48" s="622"/>
      <c r="J48" s="622"/>
      <c r="K48" s="622">
        <f>B30</f>
        <v>0</v>
      </c>
      <c r="L48" s="622"/>
      <c r="M48" s="622"/>
      <c r="N48" s="628">
        <f>IF(F48&gt;0,DATI!H30,0)*1.05</f>
        <v>0</v>
      </c>
      <c r="O48" s="628"/>
      <c r="P48" s="628"/>
      <c r="Q48" s="628"/>
      <c r="R48" s="628"/>
      <c r="S48" s="729">
        <f>IF(AND($Z48&lt;&gt;"",$Z48&lt;&gt;"AX25"),LOOKUP(Z48,DATI!$T$57:$U$63,DATI!$U$57:$U$63)*1.05,0)</f>
        <v>0</v>
      </c>
      <c r="T48" s="729"/>
      <c r="U48" s="729"/>
      <c r="V48" s="244">
        <f>IF(AND($F55&gt;0,DATI!$H$10=0),2*F55*1.05,IF(AND($F55&gt;0,DATI!$H$10&lt;&gt;0),1.3*F55*1.05,0))</f>
        <v>0</v>
      </c>
      <c r="W48" s="627" t="str">
        <f>IF(Y28&gt;0,Y28,"")</f>
        <v/>
      </c>
      <c r="X48" s="627"/>
      <c r="Y48" s="245" t="str">
        <f>IF(AA28&gt;0,AA28,"")</f>
        <v/>
      </c>
      <c r="Z48" s="630" t="str">
        <f>IF(MODULO!$BK$71&lt;&gt;"",MODULO!$BK$71,"")</f>
        <v/>
      </c>
      <c r="AA48" s="630"/>
      <c r="AB48" s="630"/>
      <c r="AC48" s="631">
        <f>IF(AND($Z48&lt;&gt;"",$Z48&lt;&gt;"maniglia AX24"),INDEX(DATI!$V$56:$AE$63,MATCH($Z48,DATI!$V$56:$V$63,0),MATCH(CARTELLINO!$B$5,DATI!$V$56:$AE$56,0))*1.05,0)</f>
        <v>0</v>
      </c>
      <c r="AD48" s="631"/>
      <c r="AE48" s="631"/>
      <c r="AF48" s="631"/>
      <c r="AG48" s="736">
        <f t="shared" si="9"/>
        <v>0</v>
      </c>
      <c r="AH48" s="737"/>
      <c r="AI48" s="737"/>
      <c r="AJ48" s="5"/>
      <c r="AK48" s="5"/>
      <c r="AL48" s="579"/>
      <c r="AM48" s="369"/>
      <c r="AN48" s="206"/>
      <c r="AO48" s="206"/>
      <c r="AP48" s="206"/>
      <c r="AQ48" s="326"/>
      <c r="AR48" s="326"/>
      <c r="AS48" s="326"/>
      <c r="AT48" s="326"/>
      <c r="AU48" s="326"/>
      <c r="AV48" s="326"/>
      <c r="AW48" s="326"/>
      <c r="AX48" s="326"/>
      <c r="AY48" s="326"/>
      <c r="AZ48" s="326"/>
      <c r="BA48" s="326"/>
      <c r="BB48" s="326"/>
      <c r="BC48" s="326"/>
      <c r="BD48" s="326"/>
      <c r="BE48" s="326"/>
      <c r="BF48" s="326"/>
      <c r="BG48" s="326"/>
      <c r="BH48" s="326"/>
      <c r="BI48" s="326"/>
      <c r="BJ48" s="326"/>
      <c r="BK48" s="326"/>
      <c r="BL48" s="326"/>
      <c r="BM48" s="326"/>
      <c r="BN48" s="326"/>
      <c r="BO48" s="326"/>
      <c r="BP48" s="5"/>
      <c r="BQ48" s="583"/>
      <c r="BR48" s="206"/>
      <c r="BS48" s="365">
        <v>9090260</v>
      </c>
      <c r="BT48" s="361" t="s">
        <v>291</v>
      </c>
      <c r="BU48" s="365">
        <v>2.71</v>
      </c>
      <c r="BV48" s="5"/>
      <c r="BW48" s="367">
        <v>9091814</v>
      </c>
      <c r="BX48" s="363" t="s">
        <v>324</v>
      </c>
      <c r="BY48" s="367">
        <v>0.91</v>
      </c>
      <c r="BZ48" s="5"/>
      <c r="CA48" s="5"/>
      <c r="CB48" s="179" t="s">
        <v>343</v>
      </c>
      <c r="CC48" s="5"/>
      <c r="CD48" s="5"/>
      <c r="CE48" s="5"/>
      <c r="CF48" s="5"/>
      <c r="CG48" s="5"/>
    </row>
    <row r="49" spans="1:85" ht="12.75" customHeight="1">
      <c r="A49" s="254" t="s">
        <v>221</v>
      </c>
      <c r="B49" s="254" t="s">
        <v>222</v>
      </c>
      <c r="C49" s="429" t="str">
        <f>IF($Y$5&lt;&gt;"","DARE SUPPORTI PER CERNIERE","")</f>
        <v/>
      </c>
      <c r="D49" s="393"/>
      <c r="E49" s="393"/>
      <c r="F49" s="393"/>
      <c r="G49" s="393"/>
      <c r="H49" s="393"/>
      <c r="I49" s="393"/>
      <c r="J49" s="393"/>
      <c r="K49" s="393"/>
      <c r="L49" s="393"/>
      <c r="M49" s="393"/>
      <c r="N49" s="393"/>
      <c r="O49" s="393"/>
      <c r="P49" s="393"/>
      <c r="Q49" s="393"/>
      <c r="R49" s="393"/>
      <c r="S49" s="393"/>
      <c r="T49" s="393"/>
      <c r="U49" s="393"/>
      <c r="V49" s="393"/>
      <c r="W49" s="393"/>
      <c r="X49" s="393"/>
      <c r="Y49" s="393"/>
      <c r="Z49" s="393"/>
      <c r="AA49" s="393"/>
      <c r="AJ49" s="5"/>
      <c r="AK49" s="5"/>
      <c r="AL49" s="579"/>
      <c r="AM49" s="370"/>
      <c r="AN49" s="214" t="s">
        <v>52</v>
      </c>
      <c r="AO49" s="214" t="s">
        <v>52</v>
      </c>
      <c r="AP49" s="214" t="s">
        <v>52</v>
      </c>
      <c r="AQ49" s="214" t="s">
        <v>52</v>
      </c>
      <c r="AR49" s="214" t="s">
        <v>52</v>
      </c>
      <c r="AS49" s="214" t="s">
        <v>52</v>
      </c>
      <c r="AT49" s="214" t="s">
        <v>52</v>
      </c>
      <c r="AU49" s="214" t="s">
        <v>52</v>
      </c>
      <c r="AV49" s="214" t="s">
        <v>52</v>
      </c>
      <c r="AW49" s="214" t="s">
        <v>52</v>
      </c>
      <c r="AX49" s="214" t="s">
        <v>52</v>
      </c>
      <c r="AY49" s="214" t="s">
        <v>52</v>
      </c>
      <c r="AZ49" s="214" t="s">
        <v>52</v>
      </c>
      <c r="BA49" s="214" t="s">
        <v>52</v>
      </c>
      <c r="BB49" s="214" t="s">
        <v>52</v>
      </c>
      <c r="BC49" s="214" t="s">
        <v>52</v>
      </c>
      <c r="BD49" s="214" t="s">
        <v>52</v>
      </c>
      <c r="BE49" s="214" t="s">
        <v>52</v>
      </c>
      <c r="BF49" s="214" t="s">
        <v>52</v>
      </c>
      <c r="BG49" s="214" t="s">
        <v>52</v>
      </c>
      <c r="BH49" s="221" t="s">
        <v>52</v>
      </c>
      <c r="BI49" s="221" t="s">
        <v>52</v>
      </c>
      <c r="BJ49" s="221" t="s">
        <v>52</v>
      </c>
      <c r="BK49" s="221" t="s">
        <v>52</v>
      </c>
      <c r="BL49" s="221" t="s">
        <v>52</v>
      </c>
      <c r="BM49" s="221" t="s">
        <v>52</v>
      </c>
      <c r="BN49" s="221" t="s">
        <v>52</v>
      </c>
      <c r="BO49" s="221" t="s">
        <v>52</v>
      </c>
      <c r="BP49" s="5"/>
      <c r="BQ49" s="583"/>
      <c r="BR49" s="5"/>
      <c r="BS49" s="365">
        <v>9090270</v>
      </c>
      <c r="BT49" s="361" t="s">
        <v>292</v>
      </c>
      <c r="BU49" s="365">
        <v>2.86</v>
      </c>
      <c r="BV49" s="5"/>
      <c r="BW49" s="374" t="s">
        <v>339</v>
      </c>
      <c r="BX49" s="374" t="s">
        <v>337</v>
      </c>
      <c r="BY49" s="375">
        <f>BZ49/2</f>
        <v>3.5950000000000002</v>
      </c>
      <c r="BZ49" s="5">
        <v>7.19</v>
      </c>
      <c r="CA49" s="5"/>
      <c r="CB49" s="179" t="s">
        <v>174</v>
      </c>
      <c r="CC49" s="5"/>
      <c r="CD49" s="5"/>
      <c r="CE49" s="5"/>
      <c r="CF49" s="5"/>
      <c r="CG49" s="5"/>
    </row>
    <row r="50" spans="1:85" ht="13.8" thickBot="1">
      <c r="A50" s="255" t="s">
        <v>224</v>
      </c>
      <c r="B50" s="255" t="s">
        <v>223</v>
      </c>
      <c r="C50" s="722" t="s">
        <v>108</v>
      </c>
      <c r="D50" s="723"/>
      <c r="E50" s="723"/>
      <c r="F50" s="589" t="s">
        <v>286</v>
      </c>
      <c r="G50" s="590"/>
      <c r="H50" s="593" t="s">
        <v>2</v>
      </c>
      <c r="I50" s="593"/>
      <c r="J50" s="593"/>
      <c r="K50" s="573" t="s">
        <v>318</v>
      </c>
      <c r="L50" s="573"/>
      <c r="M50" s="573"/>
      <c r="N50" s="727" t="s">
        <v>319</v>
      </c>
      <c r="O50" s="727"/>
      <c r="P50" s="721" t="s">
        <v>145</v>
      </c>
      <c r="Q50" s="630"/>
      <c r="R50" s="630"/>
      <c r="S50" s="627" t="s">
        <v>235</v>
      </c>
      <c r="T50" s="627"/>
      <c r="U50" s="627"/>
      <c r="V50" s="622"/>
      <c r="W50" s="622"/>
      <c r="X50" s="622"/>
      <c r="Y50" s="277"/>
      <c r="Z50" s="279" t="str">
        <f>IF(OR($Z$51&lt;&gt;"",$Z$52&lt;&gt;"",$Z$53&lt;&gt;"",$Z$54&lt;&gt;"",$Z$55&lt;&gt;""),"N°","")</f>
        <v/>
      </c>
      <c r="AA50" s="280" t="str">
        <f>IF(OR($Z$51&lt;&gt;"",$Z$52&lt;&gt;"",$Z$53&lt;&gt;"",$Z$54&lt;&gt;"",$Z$55&lt;&gt;""),"N° TOT.","")</f>
        <v/>
      </c>
      <c r="AB50" s="625" t="str">
        <f>IF(OR($Z$51&lt;&gt;"",$Z$52&lt;&gt;"",$Z$53&lt;&gt;"",$Z$54&lt;&gt;"",$Z$55&lt;&gt;""),"codice cern.centrali","")</f>
        <v/>
      </c>
      <c r="AC50" s="717"/>
      <c r="AD50" s="717"/>
      <c r="AE50" s="717"/>
      <c r="AF50" s="717"/>
      <c r="AG50" s="717"/>
      <c r="AH50" s="625" t="str">
        <f>IF(OR($Z$51&lt;&gt;"",$Z$52&lt;&gt;"",$Z$53&lt;&gt;"",$Z$54&lt;&gt;"",$Z$55&lt;&gt;""),"€ cad.","")</f>
        <v/>
      </c>
      <c r="AI50" s="625"/>
      <c r="AJ50" s="5"/>
      <c r="AK50" s="5"/>
      <c r="AL50" s="5"/>
      <c r="AM50" s="369"/>
      <c r="AN50" s="206"/>
      <c r="AO50" s="206"/>
      <c r="AP50" s="206"/>
      <c r="AQ50" s="206"/>
      <c r="AR50" s="206"/>
      <c r="AS50" s="206"/>
      <c r="AT50" s="206"/>
      <c r="AU50" s="206"/>
      <c r="AV50" s="206"/>
      <c r="AW50" s="206"/>
      <c r="AX50" s="206"/>
      <c r="AY50" s="206"/>
      <c r="AZ50" s="206"/>
      <c r="BA50" s="206"/>
      <c r="BB50" s="206"/>
      <c r="BC50" s="206"/>
      <c r="BD50" s="206"/>
      <c r="BE50" s="206"/>
      <c r="BF50" s="206"/>
      <c r="BG50" s="206"/>
      <c r="BH50" s="225"/>
      <c r="BI50" s="225"/>
      <c r="BJ50" s="225"/>
      <c r="BK50" s="225"/>
      <c r="BL50" s="225"/>
      <c r="BM50" s="225"/>
      <c r="BN50" s="225"/>
      <c r="BO50" s="225"/>
      <c r="BP50" s="5"/>
      <c r="BQ50" s="583"/>
      <c r="BR50" s="206"/>
      <c r="BS50" s="365">
        <v>9090280</v>
      </c>
      <c r="BT50" s="361" t="s">
        <v>293</v>
      </c>
      <c r="BU50" s="365">
        <v>3</v>
      </c>
      <c r="BV50" s="5"/>
      <c r="BW50" s="374" t="s">
        <v>340</v>
      </c>
      <c r="BX50" s="374" t="s">
        <v>338</v>
      </c>
      <c r="BY50" s="375">
        <f>BZ50/2</f>
        <v>4.13</v>
      </c>
      <c r="BZ50" s="5">
        <v>8.26</v>
      </c>
      <c r="CA50" s="5"/>
      <c r="CB50" s="179" t="s">
        <v>52</v>
      </c>
      <c r="CC50" s="5"/>
      <c r="CD50" s="5"/>
      <c r="CE50" s="5"/>
      <c r="CF50" s="5"/>
      <c r="CG50" s="5"/>
    </row>
    <row r="51" spans="1:85" ht="12.75" customHeight="1">
      <c r="A51" s="226" t="str">
        <f>IF(AND(MODULO!$M$26="art. PR30",F44&gt;0,OR(H44&lt;260,K44&lt;260)),1,"")</f>
        <v/>
      </c>
      <c r="B51" s="226" t="str">
        <f>IF(AND(MODULO!$M$26="art. PR30",F44&gt;0,Z44&lt;&gt;"",OR(H44&lt;410,K44&lt;410)),1,"")</f>
        <v/>
      </c>
      <c r="C51" s="253" t="s">
        <v>8</v>
      </c>
      <c r="D51" s="622">
        <f>F44</f>
        <v>0</v>
      </c>
      <c r="E51" s="622"/>
      <c r="F51" s="591">
        <f>MODULO!$I$49+MODULO!$R$49</f>
        <v>0</v>
      </c>
      <c r="G51" s="592"/>
      <c r="H51" s="594" t="str">
        <f>IF($AK$12&lt;&gt;"",$AK$12,"")</f>
        <v/>
      </c>
      <c r="I51" s="595"/>
      <c r="J51" s="595"/>
      <c r="K51" s="720" t="str">
        <f>IF(AND($AF$8="DS20",MODULO!$M$30="SI",MODULO!$M$37="SI",$AK$10&lt;&gt;""),$AK$10,IF(AND($AF$8&lt;&gt;"DS20",$AK$10&lt;&gt;""),$AK$10,""))</f>
        <v/>
      </c>
      <c r="L51" s="720"/>
      <c r="M51" s="720"/>
      <c r="N51" s="718" t="str">
        <f>IF($AK$9&lt;&gt;"",$AK$9,"")</f>
        <v/>
      </c>
      <c r="O51" s="719"/>
      <c r="P51" s="622">
        <f>SUM($F$51*$D$51)</f>
        <v>0</v>
      </c>
      <c r="Q51" s="622"/>
      <c r="R51" s="622"/>
      <c r="S51" s="628">
        <f>SUM(AJ51:AL51)</f>
        <v>0</v>
      </c>
      <c r="T51" s="628"/>
      <c r="U51" s="628"/>
      <c r="V51" s="246"/>
      <c r="W51" s="710"/>
      <c r="X51" s="710"/>
      <c r="Y51" s="278"/>
      <c r="Z51" s="253" t="str">
        <f>IF(MODULO!$AA$50=DATI!$N$34,MODULO!$R$49,"")</f>
        <v/>
      </c>
      <c r="AA51" s="247" t="str">
        <f>IF(Z51&lt;&gt;"",Z51*D51,"")</f>
        <v/>
      </c>
      <c r="AB51" s="640" t="str">
        <f>IF(MODULO!$AA$50=DATI!$N$34,DATI!$B$47,"")</f>
        <v/>
      </c>
      <c r="AC51" s="640"/>
      <c r="AD51" s="640"/>
      <c r="AE51" s="640"/>
      <c r="AF51" s="640"/>
      <c r="AG51" s="640"/>
      <c r="AH51" s="623" t="str">
        <f>IF(AB51=DATI!$B$47,DATI!$D$47,"")</f>
        <v/>
      </c>
      <c r="AI51" s="623"/>
      <c r="AJ51" s="226">
        <f>IF(AND(MODULO!$M$30="SI",F51&gt;0,H51&lt;&gt;""),INDEX($BU$38:$BU$82,MATCH(H51,$BT$38:$BT$82,0))*F51,0)</f>
        <v>0</v>
      </c>
      <c r="AK51" s="226">
        <f>IF(AND(MODULO!$M$30="SI",F51&gt;0,K51&lt;&gt;""),INDEX($BY$38:$BY$82,MATCH(K51,$BX$38:$BX$82,0))*F51,0)</f>
        <v>0</v>
      </c>
      <c r="AL51" s="226">
        <f>IF(AND(MODULO!$M$30="SI",F51&gt;0,N51&lt;&gt;""),INDEX($CC$38:$CC$82,MATCH(N51,$CB$38:$CB$82,0))*F51,0)</f>
        <v>0</v>
      </c>
      <c r="AM51" s="370" t="s">
        <v>182</v>
      </c>
      <c r="AN51" s="214" t="s">
        <v>52</v>
      </c>
      <c r="AO51" s="214" t="s">
        <v>52</v>
      </c>
      <c r="AP51" s="324" t="str">
        <f t="shared" ref="AP51:AQ51" si="13">SUBSTITUTE(AP18,9090260,"HCLB25",1)</f>
        <v>HCLB25</v>
      </c>
      <c r="AQ51" s="324" t="str">
        <f t="shared" si="13"/>
        <v>HCLB25</v>
      </c>
      <c r="AR51" s="324" t="str">
        <f>SUBSTITUTE(AR18,9090260,"HCLB25",1)</f>
        <v>HCLB25</v>
      </c>
      <c r="AS51" s="324" t="str">
        <f t="shared" ref="AS51:BB51" si="14">SUBSTITUTE(AS18,9090260,"HCLB25",1)</f>
        <v>HCLB25</v>
      </c>
      <c r="AT51" s="324" t="str">
        <f t="shared" si="14"/>
        <v>HCLB25</v>
      </c>
      <c r="AU51" s="324" t="str">
        <f t="shared" si="14"/>
        <v>HCLB25</v>
      </c>
      <c r="AV51" s="324" t="str">
        <f t="shared" si="14"/>
        <v>HCLB25</v>
      </c>
      <c r="AW51" s="324" t="str">
        <f t="shared" si="14"/>
        <v>HCLB25</v>
      </c>
      <c r="AX51" s="324" t="str">
        <f t="shared" si="14"/>
        <v>HCLB25</v>
      </c>
      <c r="AY51" s="324" t="str">
        <f t="shared" si="14"/>
        <v>HCLB25</v>
      </c>
      <c r="AZ51" s="324" t="str">
        <f t="shared" si="14"/>
        <v>HCLB25</v>
      </c>
      <c r="BA51" s="324" t="str">
        <f t="shared" si="14"/>
        <v>HCLB25</v>
      </c>
      <c r="BB51" s="324" t="str">
        <f t="shared" si="14"/>
        <v>HCLB25</v>
      </c>
      <c r="BC51" s="324" t="str">
        <f>SUBSTITUTE(BC18,9094010,"HVCLMB",1)</f>
        <v>HVCLMB</v>
      </c>
      <c r="BD51" s="324" t="str">
        <f t="shared" ref="BD51:BE51" si="15">SUBSTITUTE(BD18,9094010,"HVCLMB",1)</f>
        <v>HVCLMB</v>
      </c>
      <c r="BE51" s="324" t="str">
        <f t="shared" si="15"/>
        <v>HVCLMB</v>
      </c>
      <c r="BF51" s="324" t="str">
        <f t="shared" ref="BF51:BL51" si="16">SUBSTITUTE(BF18,9094010,"HVCLMB",1)</f>
        <v>HVCLMB</v>
      </c>
      <c r="BG51" s="324" t="str">
        <f t="shared" si="16"/>
        <v>HVCLMB</v>
      </c>
      <c r="BH51" s="324" t="str">
        <f t="shared" si="16"/>
        <v>HVCLMB</v>
      </c>
      <c r="BI51" s="324" t="str">
        <f t="shared" si="16"/>
        <v>HVCLMB</v>
      </c>
      <c r="BJ51" s="324" t="str">
        <f t="shared" si="16"/>
        <v>HVCLMB</v>
      </c>
      <c r="BK51" s="324" t="str">
        <f t="shared" si="16"/>
        <v>HVCLMB</v>
      </c>
      <c r="BL51" s="324" t="str">
        <f t="shared" si="16"/>
        <v>HVCLMB</v>
      </c>
      <c r="BM51" s="324" t="str">
        <f>SUBSTITUTE(BM18,9094290,"HVCLL",1)</f>
        <v>HVCLL</v>
      </c>
      <c r="BN51" s="324" t="str">
        <f t="shared" ref="BN51:BO51" si="17">SUBSTITUTE(BN18,9094290,"HVCLL",1)</f>
        <v>HVCLL</v>
      </c>
      <c r="BO51" s="324" t="str">
        <f t="shared" si="17"/>
        <v>HVCLL</v>
      </c>
      <c r="BP51" s="5"/>
      <c r="BQ51" s="583"/>
      <c r="BR51" s="5"/>
      <c r="BS51" s="368">
        <v>9090967</v>
      </c>
      <c r="BT51" s="363" t="s">
        <v>297</v>
      </c>
      <c r="BU51" s="367">
        <v>3.16</v>
      </c>
      <c r="BV51" s="5"/>
      <c r="BW51" s="374" t="s">
        <v>336</v>
      </c>
      <c r="BX51" s="374" t="s">
        <v>335</v>
      </c>
      <c r="BY51" s="375">
        <f>BZ51/2</f>
        <v>1.905</v>
      </c>
      <c r="BZ51" s="5">
        <v>3.81</v>
      </c>
      <c r="CA51" s="5"/>
      <c r="CB51" s="5"/>
      <c r="CC51" s="5"/>
      <c r="CD51" s="5"/>
      <c r="CE51" s="5"/>
      <c r="CF51" s="5"/>
      <c r="CG51" s="5"/>
    </row>
    <row r="52" spans="1:85" ht="13.8" thickBot="1">
      <c r="A52" s="226" t="str">
        <f>IF(AND(MODULO!$M$26="art. PR30",F45&gt;0,OR(H45&lt;260,K45&lt;260)),1,"")</f>
        <v/>
      </c>
      <c r="B52" s="226" t="str">
        <f>IF(AND(MODULO!$M$26="art. PR30",F45&gt;0,Z45&lt;&gt;"",OR(H45&lt;410,K45&lt;410)),1,"")</f>
        <v/>
      </c>
      <c r="C52" s="253" t="s">
        <v>10</v>
      </c>
      <c r="D52" s="622">
        <f>F45</f>
        <v>0</v>
      </c>
      <c r="E52" s="622"/>
      <c r="F52" s="591">
        <f>MODULO!$I$53+MODULO!$R$53</f>
        <v>0</v>
      </c>
      <c r="G52" s="592"/>
      <c r="H52" s="594" t="str">
        <f>IF($AK$17&lt;&gt;"",$AK$17,"")</f>
        <v/>
      </c>
      <c r="I52" s="595"/>
      <c r="J52" s="595"/>
      <c r="K52" s="720" t="str">
        <f>IF(AND($AF$13="DS20",MODULO!$M$30="SI",MODULO!$M$37="SI",$AK$15&lt;&gt;""),$AK$15,IF(AND($AF$13&lt;&gt;"DS20",$AK$15&lt;&gt;""),$AK$15,""))</f>
        <v/>
      </c>
      <c r="L52" s="720"/>
      <c r="M52" s="720"/>
      <c r="N52" s="718" t="str">
        <f>IF($AK$14&lt;&gt;"",$AK$14,"")</f>
        <v/>
      </c>
      <c r="O52" s="719"/>
      <c r="P52" s="622">
        <f>SUM($F$52*$D$52)</f>
        <v>0</v>
      </c>
      <c r="Q52" s="622"/>
      <c r="R52" s="622"/>
      <c r="S52" s="628">
        <f t="shared" ref="S52:S55" si="18">SUM(AJ52:AL52)</f>
        <v>0</v>
      </c>
      <c r="T52" s="628"/>
      <c r="U52" s="628"/>
      <c r="V52" s="246"/>
      <c r="W52" s="710"/>
      <c r="X52" s="710"/>
      <c r="Y52" s="278"/>
      <c r="Z52" s="253" t="str">
        <f>IF(MODULO!$AA$54=DATI!$N$34,MODULO!$R$53,"")</f>
        <v/>
      </c>
      <c r="AA52" s="247" t="str">
        <f t="shared" ref="AA52:AA55" si="19">IF(Z52&lt;&gt;"",Z52*D52,"")</f>
        <v/>
      </c>
      <c r="AB52" s="640" t="str">
        <f>IF(MODULO!$AA$54=DATI!$N$34,DATI!$B$47,"")</f>
        <v/>
      </c>
      <c r="AC52" s="640"/>
      <c r="AD52" s="640"/>
      <c r="AE52" s="640"/>
      <c r="AF52" s="640"/>
      <c r="AG52" s="640"/>
      <c r="AH52" s="623" t="str">
        <f>IF(AB52=DATI!$B$47,DATI!$D$47,"")</f>
        <v/>
      </c>
      <c r="AI52" s="624"/>
      <c r="AJ52" s="226">
        <f>IF(AND(MODULO!$M$30="SI",F52&gt;0,H52&lt;&gt;""),INDEX($BU$38:$BU$82,MATCH(H52,$BT$38:$BT$82,0))*F52,0)</f>
        <v>0</v>
      </c>
      <c r="AK52" s="226">
        <f>IF(AND(MODULO!$M$30="SI",F52&gt;0,K52&lt;&gt;""),INDEX($BY$38:$BY$82,MATCH(K52,$BX$38:$BX$82,0))*F52,0)</f>
        <v>0</v>
      </c>
      <c r="AL52" s="226">
        <f>IF(AND(MODULO!$M$30="SI",F52&gt;0,N52&lt;&gt;""),INDEX($CC$38:$CC$82,MATCH(N52,$CB$38:$CB$82,0))*F52,0)</f>
        <v>0</v>
      </c>
      <c r="AM52" s="369"/>
      <c r="AN52" s="206"/>
      <c r="AO52" s="206"/>
      <c r="AP52" s="326"/>
      <c r="AQ52" s="326"/>
      <c r="AR52" s="326"/>
      <c r="AS52" s="326"/>
      <c r="AT52" s="326"/>
      <c r="AU52" s="326"/>
      <c r="AV52" s="326"/>
      <c r="AW52" s="326"/>
      <c r="AX52" s="326"/>
      <c r="AY52" s="326"/>
      <c r="AZ52" s="326"/>
      <c r="BA52" s="326"/>
      <c r="BB52" s="326"/>
      <c r="BC52" s="326"/>
      <c r="BD52" s="326"/>
      <c r="BE52" s="326"/>
      <c r="BF52" s="326"/>
      <c r="BG52" s="326"/>
      <c r="BH52" s="326"/>
      <c r="BI52" s="326"/>
      <c r="BJ52" s="326"/>
      <c r="BK52" s="326"/>
      <c r="BL52" s="326"/>
      <c r="BM52" s="326"/>
      <c r="BN52" s="326"/>
      <c r="BO52" s="326"/>
      <c r="BP52" s="5"/>
      <c r="BQ52" s="583"/>
      <c r="BR52" s="206"/>
      <c r="BS52" s="368">
        <v>9091755</v>
      </c>
      <c r="BT52" s="363" t="s">
        <v>298</v>
      </c>
      <c r="BU52" s="367">
        <v>3.43</v>
      </c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</row>
    <row r="53" spans="1:85" ht="12.75" customHeight="1">
      <c r="A53" s="226" t="str">
        <f>IF(AND(MODULO!$M$26="art. PR30",F46&gt;0,OR(H46&lt;260,K46&lt;260)),1,"")</f>
        <v/>
      </c>
      <c r="B53" s="226" t="str">
        <f>IF(AND(MODULO!$M$26="art. PR30",F46&gt;0,Z46&lt;&gt;"",OR(H46&lt;410,K46&lt;410)),1,"")</f>
        <v/>
      </c>
      <c r="C53" s="253" t="s">
        <v>11</v>
      </c>
      <c r="D53" s="622">
        <f>F46</f>
        <v>0</v>
      </c>
      <c r="E53" s="622"/>
      <c r="F53" s="591">
        <f>MODULO!$I$57+MODULO!$R$57</f>
        <v>0</v>
      </c>
      <c r="G53" s="592"/>
      <c r="H53" s="594" t="str">
        <f>IF($AK$22&lt;&gt;"",$AK$22,"")</f>
        <v/>
      </c>
      <c r="I53" s="595"/>
      <c r="J53" s="595"/>
      <c r="K53" s="720" t="str">
        <f>IF(AND($AF$18="DS20",MODULO!$M$30="SI",MODULO!$M$37="SI",$AK$20&lt;&gt;""),$AK$20,IF(AND($AF$18&lt;&gt;"DS20",$AK$20&lt;&gt;""),$AK$20,""))</f>
        <v/>
      </c>
      <c r="L53" s="720"/>
      <c r="M53" s="720"/>
      <c r="N53" s="718" t="str">
        <f>IF($AK$19&lt;&gt;"",$AK$19,"")</f>
        <v/>
      </c>
      <c r="O53" s="719"/>
      <c r="P53" s="622">
        <f>SUM($F$53*$D$53)</f>
        <v>0</v>
      </c>
      <c r="Q53" s="622"/>
      <c r="R53" s="622"/>
      <c r="S53" s="628">
        <f t="shared" si="18"/>
        <v>0</v>
      </c>
      <c r="T53" s="628"/>
      <c r="U53" s="628"/>
      <c r="V53" s="246"/>
      <c r="W53" s="710"/>
      <c r="X53" s="710"/>
      <c r="Y53" s="278"/>
      <c r="Z53" s="253" t="str">
        <f>IF(MODULO!$AA$58=DATI!$N$34,MODULO!$R$57,"")</f>
        <v/>
      </c>
      <c r="AA53" s="247" t="str">
        <f t="shared" si="19"/>
        <v/>
      </c>
      <c r="AB53" s="640" t="str">
        <f>IF(MODULO!$AA$58=DATI!$N$34,DATI!$B$47,"")</f>
        <v/>
      </c>
      <c r="AC53" s="640"/>
      <c r="AD53" s="640"/>
      <c r="AE53" s="640"/>
      <c r="AF53" s="640"/>
      <c r="AG53" s="640"/>
      <c r="AH53" s="623" t="str">
        <f>IF(AB53=DATI!$B$47,DATI!$D$47,"")</f>
        <v/>
      </c>
      <c r="AI53" s="623"/>
      <c r="AJ53" s="226">
        <f>IF(AND(MODULO!$M$30="SI",F53&gt;0,H53&lt;&gt;""),INDEX($BU$38:$BU$82,MATCH(H53,$BT$38:$BT$82,0))*F53,0)</f>
        <v>0</v>
      </c>
      <c r="AK53" s="226">
        <f>IF(AND(MODULO!$M$30="SI",F53&gt;0,K53&lt;&gt;""),INDEX($BY$38:$BY$82,MATCH(K53,$BX$38:$BX$82,0))*F53,0)</f>
        <v>0</v>
      </c>
      <c r="AL53" s="226">
        <f>IF(AND(MODULO!$M$30="SI",F53&gt;0,N53&lt;&gt;""),INDEX($CC$38:$CC$82,MATCH(N53,$CB$38:$CB$82,0))*F53,0)</f>
        <v>0</v>
      </c>
      <c r="AM53" s="370" t="s">
        <v>183</v>
      </c>
      <c r="AN53" s="214" t="s">
        <v>52</v>
      </c>
      <c r="AO53" s="214" t="s">
        <v>52</v>
      </c>
      <c r="AP53" s="214" t="s">
        <v>52</v>
      </c>
      <c r="AQ53" s="214" t="s">
        <v>52</v>
      </c>
      <c r="AR53" s="214" t="s">
        <v>52</v>
      </c>
      <c r="AS53" s="214" t="s">
        <v>52</v>
      </c>
      <c r="AT53" s="214" t="s">
        <v>52</v>
      </c>
      <c r="AU53" s="214" t="s">
        <v>52</v>
      </c>
      <c r="AV53" s="214" t="s">
        <v>52</v>
      </c>
      <c r="AW53" s="214" t="s">
        <v>52</v>
      </c>
      <c r="AX53" s="214" t="s">
        <v>52</v>
      </c>
      <c r="AY53" s="214" t="s">
        <v>52</v>
      </c>
      <c r="AZ53" s="214" t="s">
        <v>52</v>
      </c>
      <c r="BA53" s="214" t="s">
        <v>52</v>
      </c>
      <c r="BB53" s="214" t="s">
        <v>52</v>
      </c>
      <c r="BC53" s="214" t="s">
        <v>52</v>
      </c>
      <c r="BD53" s="214" t="s">
        <v>52</v>
      </c>
      <c r="BE53" s="214" t="s">
        <v>52</v>
      </c>
      <c r="BF53" s="214" t="s">
        <v>52</v>
      </c>
      <c r="BG53" s="214" t="s">
        <v>52</v>
      </c>
      <c r="BH53" s="214" t="s">
        <v>52</v>
      </c>
      <c r="BI53" s="214" t="s">
        <v>52</v>
      </c>
      <c r="BJ53" s="214" t="s">
        <v>52</v>
      </c>
      <c r="BK53" s="214" t="s">
        <v>52</v>
      </c>
      <c r="BL53" s="214" t="s">
        <v>52</v>
      </c>
      <c r="BM53" s="214" t="s">
        <v>52</v>
      </c>
      <c r="BN53" s="214" t="s">
        <v>52</v>
      </c>
      <c r="BO53" s="214" t="s">
        <v>52</v>
      </c>
      <c r="BP53" s="5"/>
      <c r="BQ53" s="583"/>
      <c r="BR53" s="5"/>
      <c r="BS53" s="368">
        <v>9091756</v>
      </c>
      <c r="BT53" s="363" t="s">
        <v>299</v>
      </c>
      <c r="BU53" s="367">
        <v>3.6</v>
      </c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</row>
    <row r="54" spans="1:85" ht="13.8" thickBot="1">
      <c r="A54" s="226" t="str">
        <f>IF(AND(MODULO!$M$26="art. PR30",F47&gt;0,OR(H47&lt;260,K47&lt;260)),1,"")</f>
        <v/>
      </c>
      <c r="B54" s="226" t="str">
        <f>IF(AND(MODULO!$M$26="art. PR30",F47&gt;0,Z47&lt;&gt;"",OR(H47&lt;410,K47&lt;410)),1,"")</f>
        <v/>
      </c>
      <c r="C54" s="253" t="s">
        <v>9</v>
      </c>
      <c r="D54" s="622">
        <f>F47</f>
        <v>0</v>
      </c>
      <c r="E54" s="622"/>
      <c r="F54" s="591">
        <f>MODULO!$I$61+MODULO!$R$61</f>
        <v>0</v>
      </c>
      <c r="G54" s="592"/>
      <c r="H54" s="594" t="str">
        <f>IF($AK$27&lt;&gt;"",$AK$27,"")</f>
        <v/>
      </c>
      <c r="I54" s="595"/>
      <c r="J54" s="595"/>
      <c r="K54" s="720" t="str">
        <f>IF(AND($AF$23="DS20",MODULO!$M$30="SI",MODULO!$M$37="SI",$AK$25&lt;&gt;""),$AK$25,IF(AND($AF$23&lt;&gt;"DS20",$AK$25&lt;&gt;""),$AK$25,""))</f>
        <v/>
      </c>
      <c r="L54" s="720"/>
      <c r="M54" s="720"/>
      <c r="N54" s="718" t="str">
        <f>IF($AK$24&lt;&gt;"",$AK$24,"")</f>
        <v/>
      </c>
      <c r="O54" s="719"/>
      <c r="P54" s="622">
        <f>SUM($F$54*$D$54)</f>
        <v>0</v>
      </c>
      <c r="Q54" s="622"/>
      <c r="R54" s="622"/>
      <c r="S54" s="628">
        <f t="shared" si="18"/>
        <v>0</v>
      </c>
      <c r="T54" s="628"/>
      <c r="U54" s="628"/>
      <c r="V54" s="246"/>
      <c r="W54" s="710"/>
      <c r="X54" s="710"/>
      <c r="Y54" s="278"/>
      <c r="Z54" s="253" t="str">
        <f>IF(MODULO!$AA$62=DATI!$N$34,MODULO!$R$61,"")</f>
        <v/>
      </c>
      <c r="AA54" s="247" t="str">
        <f t="shared" si="19"/>
        <v/>
      </c>
      <c r="AB54" s="640" t="str">
        <f>IF(MODULO!$AA$62=DATI!$N$34,DATI!$B$47,"")</f>
        <v/>
      </c>
      <c r="AC54" s="640"/>
      <c r="AD54" s="640"/>
      <c r="AE54" s="640"/>
      <c r="AF54" s="640"/>
      <c r="AG54" s="640"/>
      <c r="AH54" s="623" t="str">
        <f>IF(AB54=DATI!$B$47,DATI!$D$47,"")</f>
        <v/>
      </c>
      <c r="AI54" s="623"/>
      <c r="AJ54" s="226">
        <f>IF(AND(MODULO!$M$30="SI",F54&gt;0,H54&lt;&gt;""),INDEX($BU$38:$BU$82,MATCH(H54,$BT$38:$BT$82,0))*F54,0)</f>
        <v>0</v>
      </c>
      <c r="AK54" s="226">
        <f>IF(AND(MODULO!$M$30="SI",F54&gt;0,K54&lt;&gt;""),INDEX($BY$38:$BY$82,MATCH(K54,$BX$38:$BX$82,0))*F54,0)</f>
        <v>0</v>
      </c>
      <c r="AL54" s="226">
        <f>IF(AND(MODULO!$M$30="SI",F54&gt;0,N54&lt;&gt;""),INDEX($CC$38:$CC$82,MATCH(N54,$CB$38:$CB$82,0))*F54,0)</f>
        <v>0</v>
      </c>
      <c r="AM54" s="369"/>
      <c r="AN54" s="206"/>
      <c r="AO54" s="206"/>
      <c r="AP54" s="206"/>
      <c r="AQ54" s="206"/>
      <c r="AR54" s="206"/>
      <c r="AS54" s="206"/>
      <c r="AT54" s="206"/>
      <c r="AU54" s="206"/>
      <c r="AV54" s="206"/>
      <c r="AW54" s="206"/>
      <c r="AX54" s="206"/>
      <c r="AY54" s="206"/>
      <c r="AZ54" s="206"/>
      <c r="BA54" s="206"/>
      <c r="BB54" s="206"/>
      <c r="BC54" s="206"/>
      <c r="BD54" s="206"/>
      <c r="BE54" s="206"/>
      <c r="BF54" s="206"/>
      <c r="BG54" s="206"/>
      <c r="BH54" s="206"/>
      <c r="BI54" s="206"/>
      <c r="BJ54" s="206"/>
      <c r="BK54" s="206"/>
      <c r="BL54" s="206"/>
      <c r="BM54" s="206"/>
      <c r="BN54" s="206"/>
      <c r="BO54" s="206"/>
      <c r="BP54" s="5"/>
      <c r="BQ54" s="583"/>
      <c r="BR54" s="206"/>
      <c r="BS54" s="365">
        <v>9072524</v>
      </c>
      <c r="BT54" s="361" t="s">
        <v>300</v>
      </c>
      <c r="BU54" s="365">
        <v>3.34</v>
      </c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</row>
    <row r="55" spans="1:85" ht="13.5" customHeight="1" thickBot="1">
      <c r="A55" s="252" t="str">
        <f>IF(AND(MODULO!$M$26="art. PR30",F48&gt;0,OR(H48&lt;260,K48&lt;260)),1,"")</f>
        <v/>
      </c>
      <c r="B55" s="252" t="str">
        <f>IF(AND(MODULO!$M$26="art. PR30",F48&gt;0,Z48&lt;&gt;"",OR(H48&lt;410,K48&lt;410)),1,"")</f>
        <v/>
      </c>
      <c r="C55" s="253" t="s">
        <v>12</v>
      </c>
      <c r="D55" s="622">
        <f>F48</f>
        <v>0</v>
      </c>
      <c r="E55" s="622"/>
      <c r="F55" s="591">
        <f>MODULO!$I$65+MODULO!$R$65</f>
        <v>0</v>
      </c>
      <c r="G55" s="592"/>
      <c r="H55" s="594" t="str">
        <f>IF($AK$32&lt;&gt;"",$AK$32,"")</f>
        <v/>
      </c>
      <c r="I55" s="595"/>
      <c r="J55" s="595"/>
      <c r="K55" s="720" t="str">
        <f>IF(AND($AF$28="DS20",MODULO!$M$30="SI",MODULO!$M$37="SI",$AK$30&lt;&gt;""),$AK$30,IF(AND($AF$28&lt;&gt;"DS20",$AK$30&lt;&gt;""),$AK$30,""))</f>
        <v/>
      </c>
      <c r="L55" s="720"/>
      <c r="M55" s="720"/>
      <c r="N55" s="718" t="str">
        <f>IF($AK$29&lt;&gt;"",$AK$29,"")</f>
        <v/>
      </c>
      <c r="O55" s="719"/>
      <c r="P55" s="622">
        <f>SUM($F$55*$D$55)</f>
        <v>0</v>
      </c>
      <c r="Q55" s="622"/>
      <c r="R55" s="622"/>
      <c r="S55" s="628">
        <f t="shared" si="18"/>
        <v>0</v>
      </c>
      <c r="T55" s="628"/>
      <c r="U55" s="628"/>
      <c r="V55" s="246"/>
      <c r="W55" s="710"/>
      <c r="X55" s="710"/>
      <c r="Y55" s="278"/>
      <c r="Z55" s="253" t="str">
        <f>IF(MODULO!$AA$65=DATI!$N$34,MODULO!$R$65,"")</f>
        <v/>
      </c>
      <c r="AA55" s="247" t="str">
        <f t="shared" si="19"/>
        <v/>
      </c>
      <c r="AB55" s="640" t="str">
        <f>IF(MODULO!$AA$65=DATI!$N$34,DATI!$B$47,"")</f>
        <v/>
      </c>
      <c r="AC55" s="640"/>
      <c r="AD55" s="640"/>
      <c r="AE55" s="640"/>
      <c r="AF55" s="640"/>
      <c r="AG55" s="640"/>
      <c r="AH55" s="623" t="str">
        <f>IF(AB55=DATI!$B$47,DATI!$D$47,"")</f>
        <v/>
      </c>
      <c r="AI55" s="623"/>
      <c r="AJ55" s="226">
        <f>IF(AND(MODULO!$M$30="SI",F55&gt;0,H55&lt;&gt;""),INDEX($BU$38:$BU$82,MATCH(H55,$BT$38:$BT$82,0))*F55,0)</f>
        <v>0</v>
      </c>
      <c r="AK55" s="226">
        <f>IF(AND(MODULO!$M$30="SI",F55&gt;0,K55&lt;&gt;""),INDEX($BY$38:$BY$82,MATCH(K55,$BX$38:$BX$82,0))*F55,0)</f>
        <v>0</v>
      </c>
      <c r="AL55" s="226">
        <f>IF(AND(MODULO!$M$30="SI",F55&gt;0,N55&lt;&gt;""),INDEX($CC$38:$CC$82,MATCH(N55,$CB$38:$CB$82,0))*F55,0)</f>
        <v>0</v>
      </c>
      <c r="AM55" s="370" t="s">
        <v>184</v>
      </c>
      <c r="AN55" s="214" t="s">
        <v>52</v>
      </c>
      <c r="AO55" s="214" t="s">
        <v>52</v>
      </c>
      <c r="AP55" s="324" t="str">
        <f t="shared" ref="AP55:AQ55" si="20">SUBSTITUTE(AP22,9090260,"HCLB25",1)</f>
        <v>HCLB25</v>
      </c>
      <c r="AQ55" s="324" t="str">
        <f t="shared" si="20"/>
        <v>HCLB25</v>
      </c>
      <c r="AR55" s="324" t="str">
        <f>SUBSTITUTE(AR22,9090260,"HCLB25",1)</f>
        <v>HCLB25</v>
      </c>
      <c r="AS55" s="324" t="str">
        <f t="shared" ref="AS55:BB55" si="21">SUBSTITUTE(AS22,9090260,"HCLB25",1)</f>
        <v>HCLB25</v>
      </c>
      <c r="AT55" s="324" t="str">
        <f t="shared" si="21"/>
        <v>HCLB25</v>
      </c>
      <c r="AU55" s="324" t="str">
        <f t="shared" si="21"/>
        <v>HCLB25</v>
      </c>
      <c r="AV55" s="324" t="str">
        <f t="shared" si="21"/>
        <v>HCLB25</v>
      </c>
      <c r="AW55" s="324" t="str">
        <f t="shared" si="21"/>
        <v>HCLB25</v>
      </c>
      <c r="AX55" s="324" t="str">
        <f t="shared" si="21"/>
        <v>HCLB25</v>
      </c>
      <c r="AY55" s="324" t="str">
        <f t="shared" si="21"/>
        <v>HCLB25</v>
      </c>
      <c r="AZ55" s="324" t="str">
        <f t="shared" si="21"/>
        <v>HCLB25</v>
      </c>
      <c r="BA55" s="324" t="str">
        <f t="shared" si="21"/>
        <v>HCLB25</v>
      </c>
      <c r="BB55" s="324" t="str">
        <f t="shared" si="21"/>
        <v>HCLB25</v>
      </c>
      <c r="BC55" s="324" t="str">
        <f t="shared" ref="BC55:BI55" si="22">SUBSTITUTE(BC22,9094010,"HVCLMB",1)</f>
        <v>HVCLMB</v>
      </c>
      <c r="BD55" s="324" t="str">
        <f t="shared" si="22"/>
        <v>HVCLMB</v>
      </c>
      <c r="BE55" s="324" t="str">
        <f t="shared" si="22"/>
        <v>HVCLMB</v>
      </c>
      <c r="BF55" s="324" t="str">
        <f t="shared" si="22"/>
        <v>HVCLMB</v>
      </c>
      <c r="BG55" s="324" t="str">
        <f t="shared" si="22"/>
        <v>HVCLMB</v>
      </c>
      <c r="BH55" s="324" t="str">
        <f t="shared" si="22"/>
        <v>HVCLMB</v>
      </c>
      <c r="BI55" s="324" t="str">
        <f t="shared" si="22"/>
        <v>HVCLMB</v>
      </c>
      <c r="BJ55" s="324" t="str">
        <f t="shared" ref="BJ55:BL55" si="23">SUBSTITUTE(BJ22,9094010,"HVCLMB",1)</f>
        <v>HVCLMB</v>
      </c>
      <c r="BK55" s="324" t="str">
        <f t="shared" si="23"/>
        <v>HVCLMB</v>
      </c>
      <c r="BL55" s="324" t="str">
        <f t="shared" si="23"/>
        <v>HVCLMB</v>
      </c>
      <c r="BM55" s="324" t="str">
        <f t="shared" ref="BM55:BO55" si="24">SUBSTITUTE(BM22,9094290,"HVCLL",1)</f>
        <v>HVCLL</v>
      </c>
      <c r="BN55" s="324" t="str">
        <f t="shared" si="24"/>
        <v>HVCLL</v>
      </c>
      <c r="BO55" s="324" t="str">
        <f t="shared" si="24"/>
        <v>HVCLL</v>
      </c>
      <c r="BP55" s="5"/>
      <c r="BQ55" s="583"/>
      <c r="BR55" s="5"/>
      <c r="BS55" s="365">
        <v>9072525</v>
      </c>
      <c r="BT55" s="361" t="s">
        <v>301</v>
      </c>
      <c r="BU55" s="365">
        <v>3.48</v>
      </c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</row>
    <row r="56" spans="1:85" ht="9.9" customHeight="1" thickBot="1">
      <c r="A56" s="256">
        <f>SUM(A51:A55)</f>
        <v>0</v>
      </c>
      <c r="B56" s="256">
        <f>SUM(B51:B55)</f>
        <v>0</v>
      </c>
      <c r="C56" s="713"/>
      <c r="D56" s="713"/>
      <c r="E56" s="713"/>
      <c r="F56" s="713"/>
      <c r="G56" s="713"/>
      <c r="H56" s="713"/>
      <c r="I56" s="713"/>
      <c r="J56" s="713"/>
      <c r="K56" s="713"/>
      <c r="L56" s="713"/>
      <c r="M56" s="713"/>
      <c r="N56" s="713"/>
      <c r="O56" s="713"/>
      <c r="P56" s="713"/>
      <c r="Q56" s="728"/>
      <c r="R56" s="713"/>
      <c r="S56" s="713"/>
      <c r="T56" s="713"/>
      <c r="U56" s="713"/>
      <c r="V56" s="713"/>
      <c r="W56" s="393"/>
      <c r="X56" s="393"/>
      <c r="Y56" s="167"/>
      <c r="Z56" s="281"/>
      <c r="AJ56" s="5"/>
      <c r="AK56" s="5"/>
      <c r="AL56" s="373"/>
      <c r="AM56" s="369"/>
      <c r="AN56" s="206"/>
      <c r="AO56" s="206"/>
      <c r="AP56" s="326"/>
      <c r="AQ56" s="326"/>
      <c r="AR56" s="326"/>
      <c r="AS56" s="326"/>
      <c r="AT56" s="326"/>
      <c r="AU56" s="326"/>
      <c r="AV56" s="326"/>
      <c r="AW56" s="326"/>
      <c r="AX56" s="326"/>
      <c r="AY56" s="326"/>
      <c r="AZ56" s="326"/>
      <c r="BA56" s="326"/>
      <c r="BB56" s="326"/>
      <c r="BC56" s="326"/>
      <c r="BD56" s="326"/>
      <c r="BE56" s="326"/>
      <c r="BF56" s="326"/>
      <c r="BG56" s="326"/>
      <c r="BH56" s="326"/>
      <c r="BI56" s="326"/>
      <c r="BJ56" s="326"/>
      <c r="BK56" s="326"/>
      <c r="BL56" s="326"/>
      <c r="BM56" s="326"/>
      <c r="BN56" s="326"/>
      <c r="BO56" s="326"/>
      <c r="BP56" s="5"/>
      <c r="BQ56" s="583"/>
      <c r="BR56" s="206"/>
      <c r="BS56" s="365">
        <v>9072526</v>
      </c>
      <c r="BT56" s="361" t="s">
        <v>302</v>
      </c>
      <c r="BU56" s="365">
        <v>3.63</v>
      </c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</row>
    <row r="57" spans="1:85" ht="12.75" customHeight="1">
      <c r="A57" s="5"/>
      <c r="B57" s="5"/>
      <c r="C57" s="625" t="str">
        <f>IF(OR($F$58&lt;&gt;"",$F$59&lt;&gt;"",$F$60&lt;&gt;"",$F$61&lt;&gt;"",$F$62&lt;&gt;""),"RIGA","")</f>
        <v/>
      </c>
      <c r="D57" s="625"/>
      <c r="E57" s="625"/>
      <c r="F57" s="625" t="str">
        <f>IF(OR($F$58&lt;&gt;"",$F$59&lt;&gt;"",$F$60&lt;&gt;"",$F$61&lt;&gt;"",$F$62&lt;&gt;""),"codice MECCANISMO","")</f>
        <v/>
      </c>
      <c r="G57" s="625"/>
      <c r="H57" s="625"/>
      <c r="I57" s="625"/>
      <c r="J57" s="625"/>
      <c r="K57" s="625"/>
      <c r="L57" s="625"/>
      <c r="M57" s="625"/>
      <c r="N57" s="625" t="str">
        <f>IF(OR($F$58&lt;&gt;"",$F$59&lt;&gt;"",$F$60&lt;&gt;"",$F$61&lt;&gt;"",$F$62&lt;&gt;""),"€ cad.","")</f>
        <v/>
      </c>
      <c r="O57" s="625"/>
      <c r="P57" s="625"/>
      <c r="Q57" s="654" t="str">
        <f>IF(SUM(Q58:T62)&gt;0,"lav. pred.","")</f>
        <v/>
      </c>
      <c r="R57" s="655"/>
      <c r="S57" s="655"/>
      <c r="T57" s="656"/>
      <c r="U57" s="651" t="str">
        <f>IF(OR($U$58&lt;&gt;"",$U$59&lt;&gt;"",$U$60&lt;&gt;"",$U$61&lt;&gt;"",$U$62&lt;&gt;""),"adatt. prof. stretti","")</f>
        <v/>
      </c>
      <c r="V57" s="652"/>
      <c r="W57" s="652"/>
      <c r="X57" s="653"/>
      <c r="Y57" s="625" t="str">
        <f>IF(OR($U$58&lt;&gt;"",$U$59&lt;&gt;"",$U$60&lt;&gt;"",$U$61&lt;&gt;"",$U$62&lt;&gt;""),"€ cad.","")</f>
        <v/>
      </c>
      <c r="Z57" s="625"/>
      <c r="AA57" s="185"/>
      <c r="AB57" s="622" t="str">
        <f>IF(OR($AB$58&lt;&gt;"",$AB$59&lt;&gt;"",$AB$60&lt;&gt;"",$AB$61&lt;&gt;"",$AB$62&lt;&gt;""),"barre stabilizzatrici","")</f>
        <v/>
      </c>
      <c r="AC57" s="622"/>
      <c r="AD57" s="622"/>
      <c r="AE57" s="622"/>
      <c r="AF57" s="622"/>
      <c r="AG57" s="622"/>
      <c r="AH57" s="627" t="str">
        <f>IF(OR($AB$58&lt;&gt;"",$AB$59&lt;&gt;"",$AB$60&lt;&gt;"",$AB$61&lt;&gt;"",$AB$62&lt;&gt;""),"€ cad.","")</f>
        <v/>
      </c>
      <c r="AI57" s="627"/>
      <c r="AJ57" s="5"/>
      <c r="AK57" s="5"/>
      <c r="AL57" s="373"/>
      <c r="AM57" s="370" t="s">
        <v>264</v>
      </c>
      <c r="AN57" s="214" t="s">
        <v>52</v>
      </c>
      <c r="AO57" s="214" t="s">
        <v>52</v>
      </c>
      <c r="AP57" s="214" t="s">
        <v>52</v>
      </c>
      <c r="AQ57" s="214" t="s">
        <v>52</v>
      </c>
      <c r="AR57" s="214" t="s">
        <v>52</v>
      </c>
      <c r="AS57" s="214" t="s">
        <v>52</v>
      </c>
      <c r="AT57" s="214" t="s">
        <v>52</v>
      </c>
      <c r="AU57" s="214" t="s">
        <v>52</v>
      </c>
      <c r="AV57" s="214" t="s">
        <v>52</v>
      </c>
      <c r="AW57" s="214" t="s">
        <v>52</v>
      </c>
      <c r="AX57" s="214" t="s">
        <v>52</v>
      </c>
      <c r="AY57" s="214" t="s">
        <v>52</v>
      </c>
      <c r="AZ57" s="214" t="s">
        <v>52</v>
      </c>
      <c r="BA57" s="214" t="s">
        <v>52</v>
      </c>
      <c r="BB57" s="214" t="s">
        <v>52</v>
      </c>
      <c r="BC57" s="214" t="s">
        <v>52</v>
      </c>
      <c r="BD57" s="214" t="s">
        <v>52</v>
      </c>
      <c r="BE57" s="214" t="s">
        <v>52</v>
      </c>
      <c r="BF57" s="214" t="s">
        <v>52</v>
      </c>
      <c r="BG57" s="214" t="s">
        <v>52</v>
      </c>
      <c r="BH57" s="214" t="s">
        <v>52</v>
      </c>
      <c r="BI57" s="214" t="s">
        <v>52</v>
      </c>
      <c r="BJ57" s="214" t="s">
        <v>52</v>
      </c>
      <c r="BK57" s="214" t="s">
        <v>52</v>
      </c>
      <c r="BL57" s="214" t="s">
        <v>52</v>
      </c>
      <c r="BM57" s="214" t="s">
        <v>52</v>
      </c>
      <c r="BN57" s="214" t="s">
        <v>52</v>
      </c>
      <c r="BO57" s="214" t="s">
        <v>52</v>
      </c>
      <c r="BP57" s="5"/>
      <c r="BQ57" s="583"/>
      <c r="BR57" s="5"/>
      <c r="BS57" s="368">
        <v>9091744</v>
      </c>
      <c r="BT57" s="363" t="s">
        <v>303</v>
      </c>
      <c r="BU57" s="367">
        <v>4</v>
      </c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</row>
    <row r="58" spans="1:85" ht="13.5" customHeight="1" thickBot="1">
      <c r="A58" s="5"/>
      <c r="B58" s="5"/>
      <c r="C58" s="627" t="str">
        <f>IF(OR($F$58&lt;&gt;"",$F$59&lt;&gt;"",$F$60&lt;&gt;"",$F$61&lt;&gt;"",$F$62&lt;&gt;""),"A","")</f>
        <v/>
      </c>
      <c r="D58" s="685"/>
      <c r="E58" s="685"/>
      <c r="F58" s="640" t="str">
        <f>IF(AND(MODULO!$AA$50=DATI!$N$32),DATI!$P$32,IF(AND(MODULO!$AA$50=DATI!$N$33),DATI!$P$33,IF(AND(MODULO!$AA$50=DATI!N34),DATI!$P$34,IF(AND(MODULO!$AA$50=DATI!N35),DATI!$P$35,IF(AND(MODULO!$AA$50=DATI!N36),DATI!$P$36,IF(AND(MODULO!$AA$50=DATI!N37),DATI!$P$37,IF(AND(MODULO!$AA$50=DATI!N38),"KRABY vedi note",IF(AND(MODULO!$AA$50=DATI!N39),"MAXI vedi note",""))))))))</f>
        <v/>
      </c>
      <c r="G58" s="640"/>
      <c r="H58" s="640"/>
      <c r="I58" s="640"/>
      <c r="J58" s="640"/>
      <c r="K58" s="640"/>
      <c r="L58" s="640"/>
      <c r="M58" s="640"/>
      <c r="N58" s="623" t="str">
        <f>IF(F58=DATI!$B$33,DATI!$B$32,IF(F58=DATI!$D$33,DATI!$D$32,IF(F58=DATI!$H$33,DATI!$H$32,IF(F58=DATI!$J$33,DATI!$J$32,IF(F58=DATI!$L$33,DATI!$L$32,IF(F58=DATI!$B$44,DATI!$B$43,IF(F58=DATI!$D$44,DATI!$D$43,IF(F58=DATI!$H$44,DATI!$H$43,IF(F58=DATI!$J$44,DATI!$J$43,IF(F58=DATI!$N$44,DATI!$N$43,IF(F58=DATI!$P$44,DATI!$P$43,IF(F58=DATI!$T$44,DATI!$T$43,IF(F58=DATI!$U$44,DATI!$U$43,IF(F58=DATI!$V$44,DATI!$V$43,IF(F58=DATI!$W$44,DATI!$W$43,"")))))))))))))))</f>
        <v/>
      </c>
      <c r="O58" s="623"/>
      <c r="P58" s="623"/>
      <c r="Q58" s="724">
        <f>IF(MODULO!$AA$50&lt;&gt;"",10,0)</f>
        <v>0</v>
      </c>
      <c r="R58" s="725"/>
      <c r="S58" s="725"/>
      <c r="T58" s="726"/>
      <c r="U58" s="657" t="str">
        <f>IF(AND(DATI!$O$3&gt;0,MODULO!$AA$50=DATI!$N$32),DATI!$C$41,IF(AND(DATI!$O$3&gt;0,MODULO!$AA$50=DATI!$N$33),DATI!$J$41,IF(AND(DATI!$O$3&gt;0,MODULO!$AA$50=DATI!$N$34),DATI!$C$49,IF(AND(DATI!$O$3&gt;0,MODULO!$AA$50=DATI!$N$35),DATI!$I$49,IF(AND(DATI!$O$3&gt;0,MODULO!$AA$50=DATI!$N$36),DATI!$O$49,"")))))</f>
        <v/>
      </c>
      <c r="V58" s="658"/>
      <c r="W58" s="658"/>
      <c r="X58" s="659"/>
      <c r="Y58" s="623" t="str">
        <f>IF(U58=DATI!$C$41,DATI!$F$41,IF(U58=DATI!$C$49,DATI!$E$49,""))</f>
        <v/>
      </c>
      <c r="Z58" s="623"/>
      <c r="AA58" s="248"/>
      <c r="AB58" s="640" t="str">
        <f>IF(AND(MODULO!$AA$50=DATI!$N$35,MODULO!$M$49&lt;=DATI!$G$50),DATI!$N$50,IF(AND(MODULO!$AA$50=DATI!$N$35,MODULO!$M$49&gt;DATI!$G$50,MODULO!$M$49&lt;=DATI!$G$51),DATI!$N$51,IF(AND(MODULO!$AA$50=DATI!$N$35,MODULO!$M$49&gt;DATI!$G$51,MODULO!$M$49&lt;=DATI!$G$52),DATI!$N$52,IF(AND(MODULO!$AA$50=DATI!$N$35,MODULO!$M$49&gt;DATI!$G$52,MODULO!$M$49&lt;=DATI!$G$53),DATI!$N$53,IF(AND(MODULO!$AA$50=DATI!$N$35,MODULO!$M$49&gt;DATI!$G$53,MODULO!$M$49&lt;=DATI!$G$54),DATI!$N$54,IF(AND(MODULO!$AA$50=DATI!$N$36,MODULO!$M$49&lt;=DATI!$G$50),DATI!$N$50,IF(AND(MODULO!$AA$50=DATI!$N$36,MODULO!$M$49&gt;DATI!$G$50,MODULO!$M$49&lt;=DATI!$G$51),DATI!$N$51,IF(AND(MODULO!$AA$50=DATI!$N$36,MODULO!$M$49&gt;DATI!$G$51,MODULO!$M$49&lt;=DATI!$G$52),DATI!$N$52,IF(AND(MODULO!$AA$50=DATI!$N$36,MODULO!$M$49&gt;DATI!$G$52,MODULO!$M$49&lt;=DATI!$G$53),DATI!$N$53,IF(AND(MODULO!$AA$50=DATI!$N$36,MODULO!$M$49&gt;DATI!$G$53,MODULO!$M$49&lt;=DATI!$G$54),DATI!$N$54,""))))))))))</f>
        <v/>
      </c>
      <c r="AC58" s="640"/>
      <c r="AD58" s="640"/>
      <c r="AE58" s="640"/>
      <c r="AF58" s="640"/>
      <c r="AG58" s="640"/>
      <c r="AH58" s="623" t="str">
        <f>IF(AB58=DATI!$N$50,DATI!$O$50,IF(AB58=DATI!$N$51,DATI!$O$51,IF(AB58=DATI!$N$52,DATI!$O$52,IF(AB58=DATI!$N$53,DATI!$O$53,IF(AB58=DATI!$N$54,DATI!$O$54,"")))))</f>
        <v/>
      </c>
      <c r="AI58" s="623"/>
      <c r="AJ58" s="5"/>
      <c r="AK58" s="5"/>
      <c r="AL58" s="373"/>
      <c r="AM58" s="369"/>
      <c r="AN58" s="206"/>
      <c r="AO58" s="206"/>
      <c r="AP58" s="206"/>
      <c r="AQ58" s="206"/>
      <c r="AR58" s="206"/>
      <c r="AS58" s="206"/>
      <c r="AT58" s="206"/>
      <c r="AU58" s="206"/>
      <c r="AV58" s="206"/>
      <c r="AW58" s="206"/>
      <c r="AX58" s="206"/>
      <c r="AY58" s="206"/>
      <c r="AZ58" s="206"/>
      <c r="BA58" s="206"/>
      <c r="BB58" s="206"/>
      <c r="BC58" s="206"/>
      <c r="BD58" s="206"/>
      <c r="BE58" s="206"/>
      <c r="BF58" s="206"/>
      <c r="BG58" s="206"/>
      <c r="BH58" s="206"/>
      <c r="BI58" s="206"/>
      <c r="BJ58" s="206"/>
      <c r="BK58" s="206"/>
      <c r="BL58" s="206"/>
      <c r="BM58" s="206"/>
      <c r="BN58" s="206"/>
      <c r="BO58" s="206"/>
      <c r="BP58" s="5"/>
      <c r="BQ58" s="583"/>
      <c r="BR58" s="206"/>
      <c r="BS58" s="365">
        <v>9091215</v>
      </c>
      <c r="BT58" s="361" t="s">
        <v>304</v>
      </c>
      <c r="BU58" s="365">
        <v>3.5</v>
      </c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</row>
    <row r="59" spans="1:85" ht="12.75" customHeight="1">
      <c r="A59" s="274">
        <f>SUM(V44:V48)</f>
        <v>0</v>
      </c>
      <c r="B59" s="5"/>
      <c r="C59" s="627" t="str">
        <f>IF(OR($F$58&lt;&gt;"",$F$59&lt;&gt;"",$F$60&lt;&gt;"",$F$61&lt;&gt;"",$F$62&lt;&gt;""),"B","")</f>
        <v/>
      </c>
      <c r="D59" s="685"/>
      <c r="E59" s="685"/>
      <c r="F59" s="640" t="str">
        <f>IF(AND(MODULO!$AA$54=DATI!$N$32),DATI!$Q$32,IF(AND(MODULO!$AA$54=DATI!$N$33),DATI!$Q$33,IF(AND(MODULO!$AA$54=DATI!N34),DATI!$Q$34,IF(AND(MODULO!$AA$54=DATI!N35),DATI!$Q$35,IF(AND(MODULO!$AA$54=DATI!N36),DATI!$Q$36,IF(AND(MODULO!$AA$54=DATI!N37),DATI!$Q$37,IF(AND(MODULO!$AA$54=DATI!N38),"KRABY vedi note",IF(AND(MODULO!$AA$54=DATI!N39),"MAXI vedi note",""))))))))</f>
        <v/>
      </c>
      <c r="G59" s="640"/>
      <c r="H59" s="640"/>
      <c r="I59" s="640"/>
      <c r="J59" s="640"/>
      <c r="K59" s="640"/>
      <c r="L59" s="640"/>
      <c r="M59" s="640"/>
      <c r="N59" s="623" t="str">
        <f>IF(F59=DATI!$B$33,DATI!$B$32,IF(F59=DATI!$D$33,DATI!$D$32,IF(F59=DATI!$H$33,DATI!$H$32,IF(F59=DATI!$J$33,DATI!$J$32,IF(F59=DATI!$L$33,DATI!$L$32,IF(F59=DATI!$B$44,DATI!$B$43,IF(F59=DATI!$D$44,DATI!$D$43,IF(F59=DATI!$H$44,DATI!$H$43,IF(F59=DATI!$J$44,DATI!$J$43,IF(F59=DATI!$N$44,DATI!$N$43,IF(F59=DATI!$P$44,DATI!$P$43,IF(F59=DATI!$T$44,DATI!$T$43,IF(F59=DATI!$U$44,DATI!$U$43,IF(F59=DATI!$V$44,DATI!$V$43,IF(F59=DATI!$W$44,DATI!$W$43,"")))))))))))))))</f>
        <v/>
      </c>
      <c r="O59" s="623"/>
      <c r="P59" s="623"/>
      <c r="Q59" s="724">
        <f>IF(MODULO!$AA$54&lt;&gt;"",10,0)</f>
        <v>0</v>
      </c>
      <c r="R59" s="725"/>
      <c r="S59" s="725"/>
      <c r="T59" s="726"/>
      <c r="U59" s="657" t="str">
        <f>IF(AND(DATI!$O$3&gt;0,MODULO!$AA$54=DATI!$N$32),DATI!$C$41,IF(AND(DATI!$O$3&gt;0,MODULO!$AA$54=DATI!$N$33),DATI!$J$41,IF(AND(DATI!$O$3&gt;0,MODULO!$AA$54=DATI!$N$34),DATI!$C$49,IF(AND(DATI!$O$3&gt;0,MODULO!$AA$54=DATI!$N$35),DATI!$I$49,IF(AND(DATI!$O$3&gt;0,MODULO!$AA$54=DATI!$N$36),DATI!$O$49,"")))))</f>
        <v/>
      </c>
      <c r="V59" s="658"/>
      <c r="W59" s="658"/>
      <c r="X59" s="659"/>
      <c r="Y59" s="623" t="str">
        <f>IF(U59=DATI!$C$41,DATI!$F$41,IF(U59=DATI!$C$49,DATI!$E$49,""))</f>
        <v/>
      </c>
      <c r="Z59" s="623"/>
      <c r="AA59" s="248"/>
      <c r="AB59" s="640" t="str">
        <f>IF(AND(MODULO!$AA$54=DATI!$N$35,MODULO!$M$53&lt;=DATI!$G$50),DATI!$N$50,IF(AND(MODULO!$AA$54=DATI!$N$35,MODULO!$M$53&gt;DATI!$G$50,MODULO!$M$53&lt;=DATI!$G$51),DATI!$N$51,IF(AND(MODULO!$AA$54=DATI!$N$35,MODULO!$M$53&gt;DATI!$G$51,MODULO!$M$53&lt;=DATI!$G$52),DATI!$N$52,IF(AND(MODULO!$AA$54=DATI!$N$35,MODULO!$M$53&gt;DATI!$G$52,MODULO!$M$53&lt;=DATI!$G$53),DATI!$N$53,IF(AND(MODULO!$AA$54=DATI!$N$35,MODULO!$M$53&gt;DATI!$G$53,MODULO!$M$53&lt;=DATI!$G$54),DATI!$N$54,IF(AND(MODULO!$AA$54=DATI!$N$36,MODULO!$M$53&lt;=DATI!$G$50),DATI!$N$50,IF(AND(MODULO!$AA$54=DATI!$N$36,MODULO!$M$53&gt;DATI!$G$50,MODULO!$M$53&lt;=DATI!$G$51),DATI!$N$51,IF(AND(MODULO!$AA$54=DATI!$N$36,MODULO!$M$53&gt;DATI!$G$51,MODULO!$M$53&lt;=DATI!$G$52),DATI!$N$52,IF(AND(MODULO!$AA$54=DATI!$N$36,MODULO!$M$53&gt;DATI!$G$52,MODULO!$M$53&lt;=DATI!$G$53),DATI!$N$53,IF(AND(MODULO!$AA$54=DATI!$N$36,MODULO!$M$53&gt;DATI!$G$53,MODULO!$M$53&lt;=DATI!$G$54),DATI!$N$54,""))))))))))</f>
        <v/>
      </c>
      <c r="AC59" s="640"/>
      <c r="AD59" s="640"/>
      <c r="AE59" s="640"/>
      <c r="AF59" s="640"/>
      <c r="AG59" s="640"/>
      <c r="AH59" s="623" t="str">
        <f>IF(AB59=DATI!$N$50,DATI!$O$50,IF(AB59=DATI!$N$51,DATI!$O$51,IF(AB59=DATI!$N$52,DATI!$O$52,IF(AB59=DATI!$N$53,DATI!$O$53,IF(AB59=DATI!$N$54,DATI!$O$54,"")))))</f>
        <v/>
      </c>
      <c r="AI59" s="623"/>
      <c r="AJ59" s="5"/>
      <c r="AK59" s="5"/>
      <c r="AL59" s="373"/>
      <c r="AM59" s="370" t="s">
        <v>185</v>
      </c>
      <c r="AN59" s="324" t="str">
        <f t="shared" ref="AN59:AQ59" si="25">SUBSTITUTE(AN26,9090260,"HCLB25",1)</f>
        <v>HCLB25</v>
      </c>
      <c r="AO59" s="324" t="str">
        <f t="shared" si="25"/>
        <v>HCLB25</v>
      </c>
      <c r="AP59" s="324" t="str">
        <f t="shared" si="25"/>
        <v>HCLB25</v>
      </c>
      <c r="AQ59" s="324" t="str">
        <f t="shared" si="25"/>
        <v>HCLB25</v>
      </c>
      <c r="AR59" s="324" t="str">
        <f>SUBSTITUTE(AR26,9090260,"HCLB25",1)</f>
        <v>HCLB25</v>
      </c>
      <c r="AS59" s="324" t="str">
        <f t="shared" ref="AS59:BB59" si="26">SUBSTITUTE(AS26,9090260,"HCLB25",1)</f>
        <v>HCLB25</v>
      </c>
      <c r="AT59" s="324" t="str">
        <f t="shared" si="26"/>
        <v>HCLB25</v>
      </c>
      <c r="AU59" s="324" t="str">
        <f t="shared" si="26"/>
        <v>HCLB25</v>
      </c>
      <c r="AV59" s="324" t="str">
        <f t="shared" si="26"/>
        <v>HCLB25</v>
      </c>
      <c r="AW59" s="324" t="str">
        <f t="shared" si="26"/>
        <v>HCLB25</v>
      </c>
      <c r="AX59" s="324" t="str">
        <f t="shared" si="26"/>
        <v>HCLB25</v>
      </c>
      <c r="AY59" s="324" t="str">
        <f t="shared" si="26"/>
        <v>HCLB25</v>
      </c>
      <c r="AZ59" s="324" t="str">
        <f t="shared" si="26"/>
        <v>HCLB25</v>
      </c>
      <c r="BA59" s="324" t="str">
        <f t="shared" si="26"/>
        <v>HCLB25</v>
      </c>
      <c r="BB59" s="324" t="str">
        <f t="shared" si="26"/>
        <v>HCLB25</v>
      </c>
      <c r="BC59" s="324" t="str">
        <f t="shared" ref="BC59:BI59" si="27">SUBSTITUTE(BC26,9094010,"HVCLMB",1)</f>
        <v>HVCLMB</v>
      </c>
      <c r="BD59" s="324" t="str">
        <f t="shared" si="27"/>
        <v>HVCLMB</v>
      </c>
      <c r="BE59" s="324" t="str">
        <f t="shared" si="27"/>
        <v>HVCLMB</v>
      </c>
      <c r="BF59" s="324" t="str">
        <f t="shared" si="27"/>
        <v>HVCLMB</v>
      </c>
      <c r="BG59" s="324" t="str">
        <f t="shared" si="27"/>
        <v>HVCLMB</v>
      </c>
      <c r="BH59" s="324" t="str">
        <f t="shared" si="27"/>
        <v>HVCLMB</v>
      </c>
      <c r="BI59" s="324" t="str">
        <f t="shared" si="27"/>
        <v>HVCLMB</v>
      </c>
      <c r="BJ59" s="324" t="str">
        <f t="shared" ref="BJ59:BL59" si="28">SUBSTITUTE(BJ26,9094010,"HVCLMB",1)</f>
        <v>HVCLMB</v>
      </c>
      <c r="BK59" s="324" t="str">
        <f t="shared" si="28"/>
        <v>HVCLMB</v>
      </c>
      <c r="BL59" s="324" t="str">
        <f t="shared" si="28"/>
        <v>HVCLMB</v>
      </c>
      <c r="BM59" s="324" t="str">
        <f t="shared" ref="BM59:BO59" si="29">SUBSTITUTE(BM26,9094290,"HVCLL",1)</f>
        <v>HVCLL</v>
      </c>
      <c r="BN59" s="324" t="str">
        <f t="shared" si="29"/>
        <v>HVCLL</v>
      </c>
      <c r="BO59" s="324" t="str">
        <f t="shared" si="29"/>
        <v>HVCLL</v>
      </c>
      <c r="BP59" s="5"/>
      <c r="BQ59" s="583"/>
      <c r="BR59" s="5"/>
      <c r="BS59" s="365">
        <v>9091216</v>
      </c>
      <c r="BT59" s="361" t="s">
        <v>305</v>
      </c>
      <c r="BU59" s="365">
        <v>3.64</v>
      </c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</row>
    <row r="60" spans="1:85" ht="13.5" customHeight="1" thickBot="1">
      <c r="A60" s="5"/>
      <c r="B60" s="5"/>
      <c r="C60" s="627" t="str">
        <f>IF(OR($F$58&lt;&gt;"",$F$59&lt;&gt;"",$F$60&lt;&gt;"",$F$61&lt;&gt;"",$F$62&lt;&gt;""),"C","")</f>
        <v/>
      </c>
      <c r="D60" s="685"/>
      <c r="E60" s="685"/>
      <c r="F60" s="640" t="str">
        <f>IF(AND(MODULO!$AA$58=DATI!$N$32),DATI!$R$32,IF(AND(MODULO!$AA$58=DATI!$N$33),DATI!$R$33,IF(AND(MODULO!$AA$58=DATI!N34),DATI!$R$34,IF(AND(MODULO!$AA$58=DATI!N35),DATI!$R$35,IF(AND(MODULO!$AA$58=DATI!N36),DATI!$R$36,IF(AND(MODULO!$AA$58=DATI!N37),DATI!$R$37,IF(AND(MODULO!$AA$58=DATI!N38),"KRABY vedi note",IF(AND(MODULO!$AA$58=DATI!N39),"MAXI vedi note",""))))))))</f>
        <v/>
      </c>
      <c r="G60" s="640"/>
      <c r="H60" s="640"/>
      <c r="I60" s="640"/>
      <c r="J60" s="640"/>
      <c r="K60" s="640"/>
      <c r="L60" s="640"/>
      <c r="M60" s="640"/>
      <c r="N60" s="623" t="str">
        <f>IF(F60=DATI!$B$33,DATI!$B$32,IF(F60=DATI!$D$33,DATI!$D$32,IF(F60=DATI!$H$33,DATI!$H$32,IF(F60=DATI!$J$33,DATI!$J$32,IF(F60=DATI!$L$33,DATI!$L$32,IF(F60=DATI!$B$44,DATI!$B$43,IF(F60=DATI!$D$44,DATI!$D$43,IF(F60=DATI!$H$44,DATI!$H$43,IF(F60=DATI!$J$44,DATI!$J$43,IF(F60=DATI!$N$44,DATI!$N$43,IF(F60=DATI!$P$44,DATI!$P$43,IF(F60=DATI!$T$44,DATI!$T$43,IF(F60=DATI!$U$44,DATI!$U$43,IF(F60=DATI!$V$44,DATI!$V$43,IF(F60=DATI!$W$44,DATI!$W$43,"")))))))))))))))</f>
        <v/>
      </c>
      <c r="O60" s="623"/>
      <c r="P60" s="623"/>
      <c r="Q60" s="724">
        <f>IF(MODULO!$AA$58&lt;&gt;"",10,0)</f>
        <v>0</v>
      </c>
      <c r="R60" s="725"/>
      <c r="S60" s="725"/>
      <c r="T60" s="726"/>
      <c r="U60" s="657" t="str">
        <f>IF(AND(DATI!$O$3&gt;0,MODULO!$AA$58=DATI!$N$32),DATI!$C$41,IF(AND(DATI!$O$3&gt;0,MODULO!$AA$58=DATI!$N$33),DATI!$J$41,IF(AND(DATI!$O$3&gt;0,MODULO!$AA$58=DATI!$N$34),DATI!$C$49,IF(AND(DATI!$O$3&gt;0,MODULO!$AA$58=DATI!$N$35),DATI!$I$49,IF(AND(DATI!$O$3&gt;0,MODULO!$AA$58=DATI!$N$36),DATI!$O$49,"")))))</f>
        <v/>
      </c>
      <c r="V60" s="658"/>
      <c r="W60" s="658"/>
      <c r="X60" s="659"/>
      <c r="Y60" s="623" t="str">
        <f>IF(U60=DATI!$C$41,DATI!$F$41,IF(U60=DATI!$C$49,DATI!$E$49,""))</f>
        <v/>
      </c>
      <c r="Z60" s="623"/>
      <c r="AA60" s="248"/>
      <c r="AB60" s="640" t="str">
        <f>IF(AND(MODULO!$AA$58=DATI!$N$35,MODULO!$M$57&lt;=DATI!$G$50),DATI!$N$50,IF(AND(MODULO!$AA$58=DATI!$N$35,MODULO!$M$57&gt;DATI!$G$50,MODULO!$M$57&lt;=DATI!$G$51),DATI!$N$51,IF(AND(MODULO!$AA$58=DATI!$N$35,MODULO!$M$57&gt;DATI!$G$51,MODULO!$M$57&lt;=DATI!$G$52),DATI!$N$52,IF(AND(MODULO!$AA$58=DATI!$N$35,MODULO!$M$57&gt;DATI!$G$52,MODULO!$M$57&lt;=DATI!$G$53),DATI!$N$53,IF(AND(MODULO!$AA$58=DATI!$N$35,MODULO!$M$57&gt;DATI!$G$53,MODULO!$M$57&lt;=DATI!$G$54),DATI!$N$54,IF(AND(MODULO!$AA$58=DATI!$N$36,MODULO!$M$57&lt;=DATI!$G$50),DATI!$N$50,IF(AND(MODULO!$AA$58=DATI!$N$36,MODULO!$M$57&gt;DATI!$G$50,MODULO!$M$57&lt;=DATI!$G$51),DATI!$N$51,IF(AND(MODULO!$AA$58=DATI!$N$36,MODULO!$M$57&gt;DATI!$G$51,MODULO!$M$57&lt;=DATI!$G$52),DATI!$N$52,IF(AND(MODULO!$AA$58=DATI!$N$36,MODULO!$M$57&gt;DATI!$G$52,MODULO!$M$57&lt;=DATI!$G$53),DATI!$N$53,IF(AND(MODULO!$AA$58=DATI!$N$36,MODULO!$M$57&gt;DATI!$G$53,MODULO!$M$57&lt;=DATI!$G$54),DATI!$N$54,""))))))))))</f>
        <v/>
      </c>
      <c r="AC60" s="640"/>
      <c r="AD60" s="640"/>
      <c r="AE60" s="640"/>
      <c r="AF60" s="640"/>
      <c r="AG60" s="640"/>
      <c r="AH60" s="623" t="str">
        <f>IF(AB60=DATI!$N$50,DATI!$O$50,IF(AB60=DATI!$N$51,DATI!$O$51,IF(AB60=DATI!$N$52,DATI!$O$52,IF(AB60=DATI!$N$53,DATI!$O$53,IF(AB60=DATI!$N$54,DATI!$O$54,"")))))</f>
        <v/>
      </c>
      <c r="AI60" s="623"/>
      <c r="AJ60" s="5"/>
      <c r="AK60" s="5"/>
      <c r="AL60" s="5"/>
      <c r="AM60" s="369"/>
      <c r="AN60" s="326"/>
      <c r="AO60" s="326"/>
      <c r="AP60" s="326"/>
      <c r="AQ60" s="326"/>
      <c r="AR60" s="326"/>
      <c r="AS60" s="326"/>
      <c r="AT60" s="326"/>
      <c r="AU60" s="326"/>
      <c r="AV60" s="326"/>
      <c r="AW60" s="326"/>
      <c r="AX60" s="326"/>
      <c r="AY60" s="326"/>
      <c r="AZ60" s="326"/>
      <c r="BA60" s="326"/>
      <c r="BB60" s="326"/>
      <c r="BC60" s="326"/>
      <c r="BD60" s="326"/>
      <c r="BE60" s="326"/>
      <c r="BF60" s="326"/>
      <c r="BG60" s="326"/>
      <c r="BH60" s="326"/>
      <c r="BI60" s="326"/>
      <c r="BJ60" s="326"/>
      <c r="BK60" s="326"/>
      <c r="BL60" s="326"/>
      <c r="BM60" s="326"/>
      <c r="BN60" s="326"/>
      <c r="BO60" s="326"/>
      <c r="BP60" s="5"/>
      <c r="BQ60" s="583"/>
      <c r="BR60" s="206"/>
      <c r="BS60" s="365">
        <v>9091217</v>
      </c>
      <c r="BT60" s="361" t="s">
        <v>306</v>
      </c>
      <c r="BU60" s="365">
        <v>3.79</v>
      </c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</row>
    <row r="61" spans="1:85" ht="12.75" customHeight="1">
      <c r="A61" s="5"/>
      <c r="B61" s="5"/>
      <c r="C61" s="627" t="str">
        <f>IF(OR($F$58&lt;&gt;"",$F$59&lt;&gt;"",$F$60&lt;&gt;"",$F$61&lt;&gt;"",$F$62&lt;&gt;""),"D","")</f>
        <v/>
      </c>
      <c r="D61" s="685"/>
      <c r="E61" s="685"/>
      <c r="F61" s="640" t="str">
        <f>IF(AND(MODULO!$AA$62=DATI!$N$32),DATI!$S$32,IF(AND(MODULO!$AA$62=DATI!$N$33),DATI!$S$33,IF(AND(MODULO!$AA$62=DATI!N34),DATI!$S$34,IF(AND(MODULO!$AA$62=DATI!N35),DATI!$S$35,IF(AND(MODULO!$AA$62=DATI!N36),DATI!$S$36,IF(AND(MODULO!$AA$62=DATI!N37),DATI!$S$37,IF(AND(MODULO!$AA$62=DATI!N38),"KRABY vedi note",IF(AND(MODULO!$AA$62=DATI!N39),"MAXI vedi note",""))))))))</f>
        <v/>
      </c>
      <c r="G61" s="640"/>
      <c r="H61" s="640"/>
      <c r="I61" s="640"/>
      <c r="J61" s="640"/>
      <c r="K61" s="640"/>
      <c r="L61" s="640"/>
      <c r="M61" s="640"/>
      <c r="N61" s="623" t="str">
        <f>IF(F61=DATI!$B$33,DATI!$B$32,IF(F61=DATI!$D$33,DATI!$D$32,IF(F61=DATI!$H$33,DATI!$H$32,IF(F61=DATI!$J$33,DATI!$J$32,IF(F61=DATI!$L$33,DATI!$L$32,IF(F61=DATI!$B$44,DATI!$B$43,IF(F61=DATI!$D$44,DATI!$D$43,IF(F61=DATI!$H$44,DATI!$H$43,IF(F61=DATI!$J$44,DATI!$J$43,IF(F61=DATI!$N$44,DATI!$N$43,IF(F61=DATI!$P$44,DATI!$P$43,IF(F61=DATI!$T$44,DATI!$T$43,IF(F61=DATI!$U$44,DATI!$U$43,IF(F61=DATI!$V$44,DATI!$V$43,IF(F61=DATI!$W$44,DATI!$W$43,"")))))))))))))))</f>
        <v/>
      </c>
      <c r="O61" s="623"/>
      <c r="P61" s="623"/>
      <c r="Q61" s="724">
        <f>IF(MODULO!$AA$62&lt;&gt;"",10,0)</f>
        <v>0</v>
      </c>
      <c r="R61" s="725"/>
      <c r="S61" s="725"/>
      <c r="T61" s="726"/>
      <c r="U61" s="657" t="str">
        <f>IF(AND(DATI!$O$3&gt;0,MODULO!$AA$62=DATI!$N$32),DATI!$C$41,IF(AND(DATI!$O$3&gt;0,MODULO!$AA$62=DATI!$N$33),DATI!$J$41,IF(AND(DATI!$O$3&gt;0,MODULO!$AA$62=DATI!$N$34),DATI!$C$49,IF(AND(DATI!$O$3&gt;0,MODULO!$AA$62=DATI!$N$35),DATI!$I$49,IF(AND(DATI!$O$3&gt;0,MODULO!$AA$62=DATI!$N$36),DATI!$O$49,"")))))</f>
        <v/>
      </c>
      <c r="V61" s="658"/>
      <c r="W61" s="658"/>
      <c r="X61" s="659"/>
      <c r="Y61" s="623" t="str">
        <f>IF(U61=DATI!$C$41,DATI!$F$41,IF(U61=DATI!$C$49,DATI!$E$49,""))</f>
        <v/>
      </c>
      <c r="Z61" s="623"/>
      <c r="AA61" s="248"/>
      <c r="AB61" s="640" t="str">
        <f>IF(AND(MODULO!$AA$62=DATI!$N$35,MODULO!$M$61&lt;=DATI!$G$50),DATI!$N$50,IF(AND(MODULO!$AA$62=DATI!$N$35,MODULO!$M$61&gt;DATI!$G$50,MODULO!$M$61&lt;=DATI!$G$51),DATI!$N$51,IF(AND(MODULO!$AA$62=DATI!$N$35,MODULO!$M$61&gt;DATI!$G$51,MODULO!$M$61&lt;=DATI!$G$52),DATI!$N$52,IF(AND(MODULO!$AA$62=DATI!$N$35,MODULO!$M$61&gt;DATI!$G$52,MODULO!$M$61&lt;=DATI!$G$53),DATI!$N$53,IF(AND(MODULO!$AA$62=DATI!$N$35,MODULO!$M$61&gt;DATI!$G$53,MODULO!$M$61&lt;=DATI!$G$54),DATI!$N$54,IF(AND(MODULO!$AA$62=DATI!$N$36,MODULO!$M$61&lt;=DATI!$G$50),DATI!$N$50,IF(AND(MODULO!$AA$62=DATI!$N$36,MODULO!$M$61&gt;DATI!$G$50,MODULO!$M$61&lt;=DATI!$G$51),DATI!$N$51,IF(AND(MODULO!$AA$62=DATI!$N$36,MODULO!$M$61&gt;DATI!$G$51,MODULO!$M$61&lt;=DATI!$G$52),DATI!$N$52,IF(AND(MODULO!$AA$62=DATI!$N$36,MODULO!$M$61&gt;DATI!$G$52,MODULO!$M$61&lt;=DATI!$G$53),DATI!$N$53,IF(AND(MODULO!$AA$62=DATI!$N$36,MODULO!$M$61&gt;DATI!$G$53,MODULO!$M$61&lt;=DATI!$G$54),DATI!$N$54,""))))))))))</f>
        <v/>
      </c>
      <c r="AC61" s="640"/>
      <c r="AD61" s="640"/>
      <c r="AE61" s="640"/>
      <c r="AF61" s="640"/>
      <c r="AG61" s="640"/>
      <c r="AH61" s="623" t="str">
        <f>IF(AB61=DATI!$N$50,DATI!$O$50,IF(AB61=DATI!$N$51,DATI!$O$51,IF(AB61=DATI!$N$52,DATI!$O$52,IF(AB61=DATI!$N$53,DATI!$O$53,IF(AB61=DATI!$N$54,DATI!$O$54,"")))))</f>
        <v/>
      </c>
      <c r="AI61" s="623"/>
      <c r="AJ61" s="5"/>
      <c r="AK61" s="5"/>
      <c r="AL61" s="579"/>
      <c r="AM61" s="371"/>
      <c r="AN61" s="214" t="s">
        <v>52</v>
      </c>
      <c r="AO61" s="214" t="s">
        <v>52</v>
      </c>
      <c r="AP61" s="214" t="s">
        <v>52</v>
      </c>
      <c r="AQ61" s="214" t="s">
        <v>52</v>
      </c>
      <c r="AR61" s="214" t="s">
        <v>52</v>
      </c>
      <c r="AS61" s="214" t="s">
        <v>52</v>
      </c>
      <c r="AT61" s="214" t="s">
        <v>52</v>
      </c>
      <c r="AU61" s="214" t="s">
        <v>52</v>
      </c>
      <c r="AV61" s="214" t="s">
        <v>52</v>
      </c>
      <c r="AW61" s="214" t="s">
        <v>52</v>
      </c>
      <c r="AX61" s="214" t="s">
        <v>52</v>
      </c>
      <c r="AY61" s="214" t="s">
        <v>52</v>
      </c>
      <c r="AZ61" s="214" t="s">
        <v>52</v>
      </c>
      <c r="BA61" s="214" t="s">
        <v>52</v>
      </c>
      <c r="BB61" s="214" t="s">
        <v>52</v>
      </c>
      <c r="BC61" s="214" t="s">
        <v>52</v>
      </c>
      <c r="BD61" s="214" t="s">
        <v>52</v>
      </c>
      <c r="BE61" s="214" t="s">
        <v>52</v>
      </c>
      <c r="BF61" s="214" t="s">
        <v>52</v>
      </c>
      <c r="BG61" s="214" t="s">
        <v>52</v>
      </c>
      <c r="BH61" s="214" t="s">
        <v>52</v>
      </c>
      <c r="BI61" s="214" t="s">
        <v>52</v>
      </c>
      <c r="BJ61" s="214" t="s">
        <v>52</v>
      </c>
      <c r="BK61" s="214" t="s">
        <v>52</v>
      </c>
      <c r="BL61" s="214" t="s">
        <v>52</v>
      </c>
      <c r="BM61" s="214" t="s">
        <v>52</v>
      </c>
      <c r="BN61" s="214" t="s">
        <v>52</v>
      </c>
      <c r="BO61" s="214" t="s">
        <v>52</v>
      </c>
      <c r="BP61" s="5"/>
      <c r="BQ61" s="583"/>
      <c r="BR61" s="5"/>
      <c r="BS61" s="368">
        <v>9091224</v>
      </c>
      <c r="BT61" s="363" t="s">
        <v>307</v>
      </c>
      <c r="BU61" s="367">
        <v>4.1900000000000004</v>
      </c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</row>
    <row r="62" spans="1:85" ht="13.5" customHeight="1" thickBot="1">
      <c r="A62" s="5"/>
      <c r="B62" s="5"/>
      <c r="C62" s="627" t="str">
        <f>IF(OR($F$58&lt;&gt;"",$F$59&lt;&gt;"",$F$60&lt;&gt;"",$F$61&lt;&gt;"",$F$62&lt;&gt;""),"E","")</f>
        <v/>
      </c>
      <c r="D62" s="685"/>
      <c r="E62" s="685"/>
      <c r="F62" s="640" t="str">
        <f>IF(AND(MODULO!$AA$65=DATI!$N$32),DATI!$T$32,IF(AND(MODULO!$AA$65=DATI!$N$33),DATI!$T$33,IF(AND(MODULO!$AA$65=DATI!N34),DATI!$T$34,IF(AND(MODULO!$AA$65=DATI!N35),DATI!$T$35,IF(AND(MODULO!$AA$65=DATI!N36),DATI!$T$36,IF(AND(MODULO!$AA$65=DATI!N37),DATI!$T$37,IF(AND(MODULO!$AA$65=DATI!N38),"KRABY vedi note",IF(AND(MODULO!$AA$65=DATI!N39),"MAXI vedi note",""))))))))</f>
        <v/>
      </c>
      <c r="G62" s="640"/>
      <c r="H62" s="640"/>
      <c r="I62" s="640"/>
      <c r="J62" s="640"/>
      <c r="K62" s="640"/>
      <c r="L62" s="640"/>
      <c r="M62" s="640"/>
      <c r="N62" s="623" t="str">
        <f>IF(F62=DATI!$B$33,DATI!$B$32,IF(F62=DATI!$D$33,DATI!$D$32,IF(F62=DATI!$H$33,DATI!$H$32,IF(F62=DATI!$J$33,DATI!$J$32,IF(F62=DATI!$L$33,DATI!$L$32,IF(F62=DATI!$B$44,DATI!$B$43,IF(F62=DATI!$D$44,DATI!$D$43,IF(F62=DATI!$H$44,DATI!$H$43,IF(F62=DATI!$J$44,DATI!$J$43,IF(F62=DATI!$N$44,DATI!$N$43,IF(F62=DATI!$P$44,DATI!$P$43,IF(F62=DATI!$T$44,DATI!$T$43,IF(F62=DATI!$U$44,DATI!$U$43,IF(F62=DATI!$V$44,DATI!$V$43,IF(F62=DATI!$W$44,DATI!$W$43,"")))))))))))))))</f>
        <v/>
      </c>
      <c r="O62" s="623"/>
      <c r="P62" s="623"/>
      <c r="Q62" s="724">
        <f>IF(MODULO!$AA$65&lt;&gt;"",10,0)</f>
        <v>0</v>
      </c>
      <c r="R62" s="725"/>
      <c r="S62" s="725"/>
      <c r="T62" s="726"/>
      <c r="U62" s="657" t="str">
        <f>IF(AND(DATI!$O$3&gt;0,MODULO!$AA$65=DATI!$N$32),DATI!$C$41,IF(AND(DATI!$O$3&gt;0,MODULO!$AA$65=DATI!$N$33),DATI!$J$41,IF(AND(DATI!$O$3&gt;0,MODULO!$AA$65=DATI!$N$34),DATI!$C$49,IF(AND(DATI!$O$3&gt;0,MODULO!$AA$65=DATI!$N$35),DATI!$I$49,IF(AND(DATI!$O$3&gt;0,MODULO!$AA$65=DATI!$N$36),DATI!$O$49,"")))))</f>
        <v/>
      </c>
      <c r="V62" s="658"/>
      <c r="W62" s="658"/>
      <c r="X62" s="659"/>
      <c r="Y62" s="623" t="str">
        <f>IF(U62=DATI!$C$41,DATI!$F$41,IF(U62=DATI!$C$49,DATI!$E$49,""))</f>
        <v/>
      </c>
      <c r="Z62" s="623"/>
      <c r="AA62" s="248"/>
      <c r="AB62" s="640" t="str">
        <f>IF(AND(MODULO!$AA$65=DATI!$N$35,MODULO!$M$65&lt;=DATI!$G$50),DATI!$N$50,IF(AND(MODULO!$AA$65=DATI!$N$35,MODULO!$M$65&gt;DATI!$G$50,MODULO!$M$65&lt;=DATI!$G$51),DATI!$N$51,IF(AND(MODULO!$AA$65=DATI!$N$35,MODULO!$M$65&gt;DATI!$G$51,MODULO!$M$65&lt;=DATI!$G$52),DATI!$N$52,IF(AND(MODULO!$AA$65=DATI!$N$35,MODULO!$M$65&gt;DATI!$G$52,MODULO!$M$65&lt;=DATI!$G$53),DATI!$N$53,IF(AND(MODULO!$AA$65=DATI!$N$35,MODULO!$M$65&gt;DATI!$G$53,MODULO!$M$65&lt;=DATI!$G$54),DATI!$N$54,IF(AND(MODULO!$AA$65=DATI!$N$36,MODULO!$M$65&lt;=DATI!$G$50),DATI!$N$50,IF(AND(MODULO!$AA$65=DATI!$N$36,MODULO!$M$65&gt;DATI!$G$50,MODULO!$M$65&lt;=DATI!$G$51),DATI!$N$51,IF(AND(MODULO!$AA$65=DATI!$N$36,MODULO!$M$65&gt;DATI!$G$51,MODULO!$M$65&lt;=DATI!$G$52),DATI!$N$52,IF(AND(MODULO!$AA$65=DATI!$N$36,MODULO!$M$65&gt;DATI!$G$52,MODULO!$M$65&lt;=DATI!$G$53),DATI!$N$53,IF(AND(MODULO!$AA$65=DATI!$N$36,MODULO!$M$65&gt;DATI!$G$53,MODULO!$M$65&lt;=DATI!$G$54),DATI!$N$54,""))))))))))</f>
        <v/>
      </c>
      <c r="AC62" s="640"/>
      <c r="AD62" s="640"/>
      <c r="AE62" s="640"/>
      <c r="AF62" s="640"/>
      <c r="AG62" s="640"/>
      <c r="AH62" s="623" t="str">
        <f>IF(AB62=DATI!$N$50,DATI!$O$50,IF(AB62=DATI!$N$51,DATI!$O$51,IF(AB62=DATI!$N$52,DATI!$O$52,IF(AB62=DATI!$N$53,DATI!$O$53,IF(AB62=DATI!$N$54,DATI!$O$54,"")))))</f>
        <v/>
      </c>
      <c r="AI62" s="623"/>
      <c r="AJ62" s="5"/>
      <c r="AK62" s="5"/>
      <c r="AL62" s="579"/>
      <c r="AM62" s="369"/>
      <c r="AN62" s="206"/>
      <c r="AO62" s="206"/>
      <c r="AP62" s="206"/>
      <c r="AQ62" s="206"/>
      <c r="AR62" s="206"/>
      <c r="AS62" s="206"/>
      <c r="AT62" s="206"/>
      <c r="AU62" s="206"/>
      <c r="AV62" s="206"/>
      <c r="AW62" s="206"/>
      <c r="AX62" s="206"/>
      <c r="AY62" s="206"/>
      <c r="AZ62" s="206"/>
      <c r="BA62" s="206"/>
      <c r="BB62" s="206"/>
      <c r="BC62" s="206"/>
      <c r="BD62" s="206"/>
      <c r="BE62" s="206"/>
      <c r="BF62" s="206"/>
      <c r="BG62" s="206"/>
      <c r="BH62" s="206"/>
      <c r="BI62" s="206"/>
      <c r="BJ62" s="206"/>
      <c r="BK62" s="206"/>
      <c r="BL62" s="206"/>
      <c r="BM62" s="206"/>
      <c r="BN62" s="206"/>
      <c r="BO62" s="206"/>
      <c r="BP62" s="5"/>
      <c r="BQ62" s="583"/>
      <c r="BR62" s="206"/>
      <c r="BS62" s="368">
        <v>9091225</v>
      </c>
      <c r="BT62" s="363" t="s">
        <v>308</v>
      </c>
      <c r="BU62" s="367">
        <v>4.37</v>
      </c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</row>
    <row r="63" spans="1:85" ht="9.9" customHeight="1">
      <c r="A63" s="5"/>
      <c r="B63" s="5"/>
      <c r="AA63" s="626" t="str">
        <f>MODULO!AH69</f>
        <v>ANTE V.16</v>
      </c>
      <c r="AB63" s="626"/>
      <c r="AC63" s="626"/>
      <c r="AD63" s="626"/>
      <c r="AE63" s="626"/>
      <c r="AF63" s="626"/>
      <c r="AG63" s="626"/>
      <c r="AH63" s="626"/>
      <c r="AI63" s="626"/>
      <c r="AJ63" s="5"/>
      <c r="AK63" s="5"/>
      <c r="AL63" s="579"/>
      <c r="AM63" s="372" t="s">
        <v>269</v>
      </c>
      <c r="AN63" s="324" t="str">
        <f t="shared" ref="AN63:AO63" si="30">SUBSTITUTE(AN30,9090260,"HCLB25",1)</f>
        <v>HCLB25</v>
      </c>
      <c r="AO63" s="324" t="str">
        <f t="shared" si="30"/>
        <v>HCLB25</v>
      </c>
      <c r="AP63" s="324" t="str">
        <f t="shared" ref="AP63:AQ65" si="31">SUBSTITUTE(AP30,9090260,"HCLB25",1)</f>
        <v>HCLB25</v>
      </c>
      <c r="AQ63" s="324" t="str">
        <f t="shared" si="31"/>
        <v>HCLB25</v>
      </c>
      <c r="AR63" s="324" t="str">
        <f>SUBSTITUTE(AR30,9090260,"HCLB25",1)</f>
        <v>HCLB25</v>
      </c>
      <c r="AS63" s="324" t="str">
        <f t="shared" ref="AS63:BB65" si="32">SUBSTITUTE(AS30,9090260,"HCLB25",1)</f>
        <v>HCLB25</v>
      </c>
      <c r="AT63" s="324" t="str">
        <f t="shared" si="32"/>
        <v>HCLB25</v>
      </c>
      <c r="AU63" s="324" t="str">
        <f t="shared" si="32"/>
        <v>HCLB25</v>
      </c>
      <c r="AV63" s="324" t="str">
        <f t="shared" si="32"/>
        <v>HCLB25</v>
      </c>
      <c r="AW63" s="324" t="str">
        <f t="shared" si="32"/>
        <v>HCLB25</v>
      </c>
      <c r="AX63" s="324" t="str">
        <f t="shared" si="32"/>
        <v>HCLB25</v>
      </c>
      <c r="AY63" s="324" t="str">
        <f t="shared" si="32"/>
        <v>HCLB25</v>
      </c>
      <c r="AZ63" s="324" t="str">
        <f t="shared" si="32"/>
        <v>HCLB25</v>
      </c>
      <c r="BA63" s="324" t="str">
        <f t="shared" si="32"/>
        <v>HCLB25</v>
      </c>
      <c r="BB63" s="324" t="str">
        <f t="shared" si="32"/>
        <v>HCLB25</v>
      </c>
      <c r="BC63" s="355" t="str">
        <f>SUBSTITUTE(BC30,9090270,"HCLMB25",1)</f>
        <v>HCLMB25</v>
      </c>
      <c r="BD63" s="355" t="str">
        <f t="shared" ref="BD63:BI63" si="33">SUBSTITUTE(BD30,9090270,"HCLMB25",1)</f>
        <v>HCLMB25</v>
      </c>
      <c r="BE63" s="355" t="str">
        <f t="shared" si="33"/>
        <v>HCLMB25</v>
      </c>
      <c r="BF63" s="355" t="str">
        <f t="shared" si="33"/>
        <v>HCLMB25</v>
      </c>
      <c r="BG63" s="355" t="str">
        <f t="shared" si="33"/>
        <v>HCLMB25</v>
      </c>
      <c r="BH63" s="355" t="str">
        <f t="shared" si="33"/>
        <v>HCLMB25</v>
      </c>
      <c r="BI63" s="355" t="str">
        <f t="shared" si="33"/>
        <v>HCLMB25</v>
      </c>
      <c r="BJ63" s="355" t="str">
        <f t="shared" ref="BJ63:BK63" si="34">SUBSTITUTE(BJ30,9090270,"HCLMB25",1)</f>
        <v>HCLMB25</v>
      </c>
      <c r="BK63" s="355" t="str">
        <f t="shared" si="34"/>
        <v>HCLMB25</v>
      </c>
      <c r="BL63" s="355" t="str">
        <f>SUBSTITUTE(BL30,9090270,"HCLMB25",1)</f>
        <v>HCLMB25</v>
      </c>
      <c r="BM63" s="355" t="str">
        <f>SUBSTITUTE(BM30,9090280,"HCLL25",1)</f>
        <v>HCLL25</v>
      </c>
      <c r="BN63" s="355" t="str">
        <f t="shared" ref="BN63:BO63" si="35">SUBSTITUTE(BN30,9090280,"HCLL25",1)</f>
        <v>HCLL25</v>
      </c>
      <c r="BO63" s="355" t="str">
        <f t="shared" si="35"/>
        <v>HCLL25</v>
      </c>
      <c r="BP63" s="5"/>
      <c r="BQ63" s="583"/>
      <c r="BR63" s="5"/>
      <c r="BS63" s="368">
        <v>9091226</v>
      </c>
      <c r="BT63" s="363" t="s">
        <v>309</v>
      </c>
      <c r="BU63" s="367">
        <v>4.54</v>
      </c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</row>
    <row r="64" spans="1:85" ht="9.9" customHeight="1" thickBo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79"/>
      <c r="AM64" s="369"/>
      <c r="AN64" s="326"/>
      <c r="AO64" s="326"/>
      <c r="AP64" s="326"/>
      <c r="AQ64" s="326"/>
      <c r="AR64" s="326"/>
      <c r="AS64" s="326"/>
      <c r="AT64" s="326"/>
      <c r="AU64" s="326"/>
      <c r="AV64" s="326"/>
      <c r="AW64" s="326"/>
      <c r="AX64" s="326"/>
      <c r="AY64" s="326"/>
      <c r="AZ64" s="326"/>
      <c r="BA64" s="326"/>
      <c r="BB64" s="326"/>
      <c r="BC64" s="326"/>
      <c r="BD64" s="326"/>
      <c r="BE64" s="326"/>
      <c r="BF64" s="326"/>
      <c r="BG64" s="326"/>
      <c r="BH64" s="326"/>
      <c r="BI64" s="326"/>
      <c r="BJ64" s="326"/>
      <c r="BK64" s="326"/>
      <c r="BL64" s="326"/>
      <c r="BM64" s="326"/>
      <c r="BN64" s="326"/>
      <c r="BO64" s="326"/>
      <c r="BP64" s="5"/>
      <c r="BQ64" s="583"/>
      <c r="BR64" s="5"/>
      <c r="BS64" s="584" t="s">
        <v>327</v>
      </c>
      <c r="BT64" s="586" t="s">
        <v>330</v>
      </c>
      <c r="BU64" s="581">
        <f>BV64/2</f>
        <v>12.46</v>
      </c>
      <c r="BV64" s="581">
        <v>24.92</v>
      </c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</row>
    <row r="65" spans="1:85" ht="12.75" customHeight="1">
      <c r="A65" s="5"/>
      <c r="B65" s="5"/>
      <c r="C65" s="5"/>
      <c r="D65" s="5"/>
      <c r="E65" s="5"/>
      <c r="F65" s="5"/>
      <c r="G65" s="5"/>
      <c r="H65" s="393" t="str">
        <f>IF(ISNUMBER(SEARCH("H",AF10)),"OK","NO")</f>
        <v>NO</v>
      </c>
      <c r="I65" s="393"/>
      <c r="J65" s="393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370" t="s">
        <v>186</v>
      </c>
      <c r="AN65" s="324" t="str">
        <f t="shared" ref="AN65:AO65" si="36">SUBSTITUTE(AN32,9090260,"HCLB25",1)</f>
        <v>HCLB25</v>
      </c>
      <c r="AO65" s="324" t="str">
        <f t="shared" si="36"/>
        <v>HCLB25</v>
      </c>
      <c r="AP65" s="324" t="str">
        <f t="shared" si="31"/>
        <v>HCLB25</v>
      </c>
      <c r="AQ65" s="324" t="str">
        <f t="shared" si="31"/>
        <v>HCLB25</v>
      </c>
      <c r="AR65" s="324" t="str">
        <f>SUBSTITUTE(AR32,9090260,"HCLB25",1)</f>
        <v>HCLB25</v>
      </c>
      <c r="AS65" s="324" t="str">
        <f t="shared" si="32"/>
        <v>HCLB25</v>
      </c>
      <c r="AT65" s="324" t="str">
        <f t="shared" si="32"/>
        <v>HCLB25</v>
      </c>
      <c r="AU65" s="324" t="str">
        <f t="shared" si="32"/>
        <v>HCLB25</v>
      </c>
      <c r="AV65" s="324" t="str">
        <f t="shared" si="32"/>
        <v>HCLB25</v>
      </c>
      <c r="AW65" s="324" t="str">
        <f t="shared" si="32"/>
        <v>HCLB25</v>
      </c>
      <c r="AX65" s="324" t="str">
        <f t="shared" si="32"/>
        <v>HCLB25</v>
      </c>
      <c r="AY65" s="324" t="str">
        <f t="shared" si="32"/>
        <v>HCLB25</v>
      </c>
      <c r="AZ65" s="324" t="str">
        <f t="shared" si="32"/>
        <v>HCLB25</v>
      </c>
      <c r="BA65" s="324" t="str">
        <f t="shared" si="32"/>
        <v>HCLB25</v>
      </c>
      <c r="BB65" s="324" t="str">
        <f t="shared" si="32"/>
        <v>HCLB25</v>
      </c>
      <c r="BC65" s="324" t="str">
        <f t="shared" ref="BC65:BI65" si="37">SUBSTITUTE(BC32,9094010,"HVCLMB",1)</f>
        <v>HVCLMB</v>
      </c>
      <c r="BD65" s="324" t="str">
        <f t="shared" si="37"/>
        <v>HVCLMB</v>
      </c>
      <c r="BE65" s="324" t="str">
        <f t="shared" si="37"/>
        <v>HVCLMB</v>
      </c>
      <c r="BF65" s="324" t="str">
        <f t="shared" si="37"/>
        <v>HVCLMB</v>
      </c>
      <c r="BG65" s="324" t="str">
        <f t="shared" si="37"/>
        <v>HVCLMB</v>
      </c>
      <c r="BH65" s="324" t="str">
        <f t="shared" si="37"/>
        <v>HVCLMB</v>
      </c>
      <c r="BI65" s="324" t="str">
        <f t="shared" si="37"/>
        <v>HVCLMB</v>
      </c>
      <c r="BJ65" s="324" t="str">
        <f t="shared" ref="BJ65:BL65" si="38">SUBSTITUTE(BJ32,9094010,"HVCLMB",1)</f>
        <v>HVCLMB</v>
      </c>
      <c r="BK65" s="324" t="str">
        <f t="shared" si="38"/>
        <v>HVCLMB</v>
      </c>
      <c r="BL65" s="324" t="str">
        <f t="shared" si="38"/>
        <v>HVCLMB</v>
      </c>
      <c r="BM65" s="324" t="str">
        <f t="shared" ref="BM65:BO65" si="39">SUBSTITUTE(BM32,9094290,"HVCLL",1)</f>
        <v>HVCLL</v>
      </c>
      <c r="BN65" s="324" t="str">
        <f t="shared" si="39"/>
        <v>HVCLL</v>
      </c>
      <c r="BO65" s="324" t="str">
        <f t="shared" si="39"/>
        <v>HVCLL</v>
      </c>
      <c r="BP65" s="5"/>
      <c r="BQ65" s="583"/>
      <c r="BR65" s="5"/>
      <c r="BS65" s="585"/>
      <c r="BT65" s="582"/>
      <c r="BU65" s="582"/>
      <c r="BV65" s="582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</row>
    <row r="66" spans="1:85" ht="13.5" customHeight="1" thickBo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26"/>
      <c r="AN66" s="326"/>
      <c r="AO66" s="326"/>
      <c r="AP66" s="326"/>
      <c r="AQ66" s="326"/>
      <c r="AR66" s="326"/>
      <c r="AS66" s="326"/>
      <c r="AT66" s="326"/>
      <c r="AU66" s="326"/>
      <c r="AV66" s="326"/>
      <c r="AW66" s="326"/>
      <c r="AX66" s="326"/>
      <c r="AY66" s="326"/>
      <c r="AZ66" s="326"/>
      <c r="BA66" s="326"/>
      <c r="BB66" s="326"/>
      <c r="BC66" s="326"/>
      <c r="BD66" s="326"/>
      <c r="BE66" s="326"/>
      <c r="BF66" s="326"/>
      <c r="BG66" s="326"/>
      <c r="BH66" s="326"/>
      <c r="BI66" s="326"/>
      <c r="BJ66" s="326"/>
      <c r="BK66" s="326"/>
      <c r="BL66" s="326"/>
      <c r="BM66" s="326"/>
      <c r="BN66" s="326"/>
      <c r="BO66" s="326"/>
      <c r="BP66" s="5"/>
      <c r="BQ66" s="583"/>
      <c r="BR66" s="5"/>
      <c r="BS66" s="584" t="s">
        <v>334</v>
      </c>
      <c r="BT66" s="586" t="s">
        <v>331</v>
      </c>
      <c r="BU66" s="581">
        <f t="shared" ref="BU66" si="40">BV66/2</f>
        <v>13.17</v>
      </c>
      <c r="BV66" s="581">
        <v>26.34</v>
      </c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</row>
    <row r="67" spans="1:85" ht="12.75" customHeight="1">
      <c r="A67" s="5"/>
      <c r="B67" s="5"/>
      <c r="C67" s="711">
        <f>IF(P12&lt;&gt;"",1,0)</f>
        <v>0</v>
      </c>
      <c r="D67" s="711"/>
      <c r="E67" s="711">
        <f>IF(P17&lt;&gt;"",1,0)</f>
        <v>0</v>
      </c>
      <c r="F67" s="711"/>
      <c r="G67" s="711"/>
      <c r="H67" s="712">
        <f>IF(P22&lt;&gt;"",1,0)</f>
        <v>0</v>
      </c>
      <c r="I67" s="712"/>
      <c r="J67" s="712">
        <f>IF(P27&lt;&gt;"",1,0)</f>
        <v>0</v>
      </c>
      <c r="K67" s="712"/>
      <c r="L67" s="712">
        <f>IF(P32&lt;&gt;"",1,0)</f>
        <v>0</v>
      </c>
      <c r="M67" s="712"/>
      <c r="N67" s="714">
        <f>SUM(C67:M67)</f>
        <v>0</v>
      </c>
      <c r="O67" s="715"/>
      <c r="P67" s="715"/>
      <c r="Q67" s="715"/>
      <c r="R67" s="715"/>
      <c r="S67" s="715"/>
      <c r="T67" s="715"/>
      <c r="U67" s="715"/>
      <c r="V67" s="715"/>
      <c r="W67" s="715"/>
      <c r="X67" s="715"/>
      <c r="Y67" s="716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162"/>
      <c r="AN67" s="214" t="s">
        <v>52</v>
      </c>
      <c r="AO67" s="214" t="s">
        <v>52</v>
      </c>
      <c r="AP67" s="214" t="s">
        <v>52</v>
      </c>
      <c r="AQ67" s="214" t="s">
        <v>52</v>
      </c>
      <c r="AR67" s="214" t="s">
        <v>52</v>
      </c>
      <c r="AS67" s="214" t="s">
        <v>52</v>
      </c>
      <c r="AT67" s="214" t="s">
        <v>52</v>
      </c>
      <c r="AU67" s="214" t="s">
        <v>52</v>
      </c>
      <c r="AV67" s="214" t="s">
        <v>52</v>
      </c>
      <c r="AW67" s="214" t="s">
        <v>52</v>
      </c>
      <c r="AX67" s="214" t="s">
        <v>52</v>
      </c>
      <c r="AY67" s="214" t="s">
        <v>52</v>
      </c>
      <c r="AZ67" s="214" t="s">
        <v>52</v>
      </c>
      <c r="BA67" s="214" t="s">
        <v>52</v>
      </c>
      <c r="BB67" s="214" t="s">
        <v>52</v>
      </c>
      <c r="BC67" s="214" t="s">
        <v>52</v>
      </c>
      <c r="BD67" s="214" t="s">
        <v>52</v>
      </c>
      <c r="BE67" s="214" t="s">
        <v>52</v>
      </c>
      <c r="BF67" s="214" t="s">
        <v>52</v>
      </c>
      <c r="BG67" s="214" t="s">
        <v>52</v>
      </c>
      <c r="BH67" s="214" t="s">
        <v>52</v>
      </c>
      <c r="BI67" s="214" t="s">
        <v>52</v>
      </c>
      <c r="BJ67" s="214" t="s">
        <v>52</v>
      </c>
      <c r="BK67" s="214" t="s">
        <v>52</v>
      </c>
      <c r="BL67" s="214" t="s">
        <v>52</v>
      </c>
      <c r="BM67" s="214" t="s">
        <v>52</v>
      </c>
      <c r="BN67" s="214" t="s">
        <v>52</v>
      </c>
      <c r="BO67" s="214" t="s">
        <v>52</v>
      </c>
      <c r="BP67" s="5"/>
      <c r="BQ67" s="583"/>
      <c r="BR67" s="5"/>
      <c r="BS67" s="585"/>
      <c r="BT67" s="582"/>
      <c r="BU67" s="582"/>
      <c r="BV67" s="582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</row>
    <row r="68" spans="1:85" ht="13.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26"/>
      <c r="AN68" s="206"/>
      <c r="AO68" s="206"/>
      <c r="AP68" s="206"/>
      <c r="AQ68" s="206"/>
      <c r="AR68" s="206"/>
      <c r="AS68" s="206"/>
      <c r="AT68" s="206"/>
      <c r="AU68" s="206"/>
      <c r="AV68" s="206"/>
      <c r="AW68" s="206"/>
      <c r="AX68" s="206"/>
      <c r="AY68" s="206"/>
      <c r="AZ68" s="206"/>
      <c r="BA68" s="206"/>
      <c r="BB68" s="206"/>
      <c r="BC68" s="206"/>
      <c r="BD68" s="206"/>
      <c r="BE68" s="206"/>
      <c r="BF68" s="206"/>
      <c r="BG68" s="206"/>
      <c r="BH68" s="206"/>
      <c r="BI68" s="206"/>
      <c r="BJ68" s="206"/>
      <c r="BK68" s="206"/>
      <c r="BL68" s="206"/>
      <c r="BM68" s="206"/>
      <c r="BN68" s="206"/>
      <c r="BO68" s="206"/>
      <c r="BP68" s="5"/>
      <c r="BQ68" s="583"/>
      <c r="BR68" s="5"/>
      <c r="BS68" s="584" t="s">
        <v>328</v>
      </c>
      <c r="BT68" s="586" t="s">
        <v>332</v>
      </c>
      <c r="BU68" s="581">
        <f t="shared" ref="BU68" si="41">BV68/2</f>
        <v>28.155000000000001</v>
      </c>
      <c r="BV68" s="581">
        <v>56.31</v>
      </c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</row>
    <row r="69" spans="1:85" ht="13.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25"/>
      <c r="AN69" s="214" t="s">
        <v>52</v>
      </c>
      <c r="AO69" s="214" t="s">
        <v>52</v>
      </c>
      <c r="AP69" s="214" t="s">
        <v>52</v>
      </c>
      <c r="AQ69" s="214" t="s">
        <v>52</v>
      </c>
      <c r="AR69" s="214" t="s">
        <v>52</v>
      </c>
      <c r="AS69" s="214" t="s">
        <v>52</v>
      </c>
      <c r="AT69" s="214" t="s">
        <v>52</v>
      </c>
      <c r="AU69" s="214" t="s">
        <v>52</v>
      </c>
      <c r="AV69" s="214" t="s">
        <v>52</v>
      </c>
      <c r="AW69" s="214" t="s">
        <v>52</v>
      </c>
      <c r="AX69" s="214" t="s">
        <v>52</v>
      </c>
      <c r="AY69" s="214" t="s">
        <v>52</v>
      </c>
      <c r="AZ69" s="214" t="s">
        <v>52</v>
      </c>
      <c r="BA69" s="214" t="s">
        <v>52</v>
      </c>
      <c r="BB69" s="214" t="s">
        <v>52</v>
      </c>
      <c r="BC69" s="214" t="s">
        <v>52</v>
      </c>
      <c r="BD69" s="214" t="s">
        <v>52</v>
      </c>
      <c r="BE69" s="214" t="s">
        <v>52</v>
      </c>
      <c r="BF69" s="214" t="s">
        <v>52</v>
      </c>
      <c r="BG69" s="214" t="s">
        <v>52</v>
      </c>
      <c r="BH69" s="214" t="s">
        <v>52</v>
      </c>
      <c r="BI69" s="214" t="s">
        <v>52</v>
      </c>
      <c r="BJ69" s="214" t="s">
        <v>52</v>
      </c>
      <c r="BK69" s="214" t="s">
        <v>52</v>
      </c>
      <c r="BL69" s="214" t="s">
        <v>52</v>
      </c>
      <c r="BM69" s="214" t="s">
        <v>52</v>
      </c>
      <c r="BN69" s="214" t="s">
        <v>52</v>
      </c>
      <c r="BO69" s="214" t="s">
        <v>52</v>
      </c>
      <c r="BP69" s="5"/>
      <c r="BQ69" s="583"/>
      <c r="BR69" s="5"/>
      <c r="BS69" s="585"/>
      <c r="BT69" s="582"/>
      <c r="BU69" s="582"/>
      <c r="BV69" s="582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</row>
    <row r="70" spans="1:85" ht="13.2" customHeight="1">
      <c r="A70" s="7" t="s">
        <v>8</v>
      </c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26"/>
      <c r="AN70" s="206"/>
      <c r="AO70" s="206"/>
      <c r="AP70" s="206"/>
      <c r="AQ70" s="206"/>
      <c r="AR70" s="206"/>
      <c r="AS70" s="206"/>
      <c r="AT70" s="206"/>
      <c r="AU70" s="206"/>
      <c r="AV70" s="206"/>
      <c r="AW70" s="206"/>
      <c r="AX70" s="206"/>
      <c r="AY70" s="206"/>
      <c r="AZ70" s="206"/>
      <c r="BA70" s="206"/>
      <c r="BB70" s="206"/>
      <c r="BC70" s="206"/>
      <c r="BD70" s="206"/>
      <c r="BE70" s="206"/>
      <c r="BF70" s="206"/>
      <c r="BG70" s="206"/>
      <c r="BH70" s="206"/>
      <c r="BI70" s="206"/>
      <c r="BJ70" s="206"/>
      <c r="BK70" s="206"/>
      <c r="BL70" s="206"/>
      <c r="BM70" s="206"/>
      <c r="BN70" s="206"/>
      <c r="BO70" s="206"/>
      <c r="BP70" s="5"/>
      <c r="BQ70" s="583"/>
      <c r="BR70" s="5"/>
      <c r="BS70" s="584" t="s">
        <v>329</v>
      </c>
      <c r="BT70" s="447" t="s">
        <v>333</v>
      </c>
      <c r="BU70" s="581">
        <f t="shared" ref="BU70" si="42">BV70/2</f>
        <v>28.155000000000001</v>
      </c>
      <c r="BV70" s="581">
        <v>56.31</v>
      </c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</row>
    <row r="71" spans="1:85">
      <c r="A71" s="7" t="s">
        <v>10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83"/>
      <c r="BR71" s="5"/>
      <c r="BS71" s="585"/>
      <c r="BT71" s="587"/>
      <c r="BU71" s="582"/>
      <c r="BV71" s="582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</row>
    <row r="72" spans="1:85" ht="13.8" thickBot="1">
      <c r="A72" s="7" t="s">
        <v>11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</row>
    <row r="73" spans="1:85" ht="12.75" customHeight="1" thickBot="1">
      <c r="A73" s="7" t="s">
        <v>9</v>
      </c>
      <c r="S73" s="732">
        <f>IF(AND($F$51&gt;0,DATI!$H$10=0),2*F51,IF(AND($F$51&gt;0,DATI!$H$10&lt;&gt;0),1.3*F51,0))</f>
        <v>0</v>
      </c>
      <c r="T73" s="733"/>
      <c r="U73" s="575"/>
      <c r="BT73" s="611"/>
    </row>
    <row r="74" spans="1:85">
      <c r="A74" s="7" t="s">
        <v>12</v>
      </c>
      <c r="BT74" s="611"/>
    </row>
    <row r="75" spans="1:85" ht="12.75" customHeight="1">
      <c r="BT75" s="611"/>
    </row>
    <row r="76" spans="1:85">
      <c r="BT76" s="611"/>
    </row>
    <row r="77" spans="1:85" ht="12.75" customHeight="1">
      <c r="BT77" s="611"/>
    </row>
    <row r="78" spans="1:85">
      <c r="BT78" s="611"/>
    </row>
    <row r="79" spans="1:85" ht="12.75" customHeight="1">
      <c r="BT79" s="611"/>
    </row>
    <row r="80" spans="1:85">
      <c r="BT80" s="611"/>
    </row>
    <row r="81" spans="72:72" ht="12.75" customHeight="1">
      <c r="BT81" s="611"/>
    </row>
    <row r="82" spans="72:72">
      <c r="BT82" s="611"/>
    </row>
  </sheetData>
  <sheetProtection algorithmName="SHA-512" hashValue="B+RnrZJKCvrxUx1DXeURVV7xS8JerSGSjxD807jerp8oS6F3fWixwUUmW2T5T4dX5JJkCkMAZ6g7mBYGj/oVlA==" saltValue="PICpHFxBnnNr93+zeYsYNA==" spinCount="100000" sheet="1" objects="1" scenarios="1" selectLockedCells="1"/>
  <mergeCells count="425">
    <mergeCell ref="S73:U73"/>
    <mergeCell ref="AG43:AI43"/>
    <mergeCell ref="AG44:AI44"/>
    <mergeCell ref="AG45:AI45"/>
    <mergeCell ref="AG46:AI46"/>
    <mergeCell ref="AG47:AI47"/>
    <mergeCell ref="AG48:AI48"/>
    <mergeCell ref="S46:U46"/>
    <mergeCell ref="S47:U47"/>
    <mergeCell ref="S48:U48"/>
    <mergeCell ref="S52:U52"/>
    <mergeCell ref="AC48:AF48"/>
    <mergeCell ref="AH51:AI51"/>
    <mergeCell ref="S51:U51"/>
    <mergeCell ref="Y61:Z61"/>
    <mergeCell ref="AB58:AG58"/>
    <mergeCell ref="Y62:Z62"/>
    <mergeCell ref="AB60:AG60"/>
    <mergeCell ref="AC45:AF45"/>
    <mergeCell ref="AC46:AF46"/>
    <mergeCell ref="Z47:AB47"/>
    <mergeCell ref="U61:X61"/>
    <mergeCell ref="Q62:T62"/>
    <mergeCell ref="W55:X55"/>
    <mergeCell ref="Z45:AB45"/>
    <mergeCell ref="S45:U45"/>
    <mergeCell ref="D22:O22"/>
    <mergeCell ref="D23:F24"/>
    <mergeCell ref="F44:G44"/>
    <mergeCell ref="C42:R42"/>
    <mergeCell ref="N43:R43"/>
    <mergeCell ref="F43:G43"/>
    <mergeCell ref="C39:G39"/>
    <mergeCell ref="C44:E44"/>
    <mergeCell ref="O23:O24"/>
    <mergeCell ref="C37:G37"/>
    <mergeCell ref="D28:F29"/>
    <mergeCell ref="C38:G38"/>
    <mergeCell ref="H38:X38"/>
    <mergeCell ref="S44:U44"/>
    <mergeCell ref="C45:E45"/>
    <mergeCell ref="N45:R45"/>
    <mergeCell ref="F45:G45"/>
    <mergeCell ref="W45:X45"/>
    <mergeCell ref="H45:J45"/>
    <mergeCell ref="K45:M45"/>
    <mergeCell ref="P27:AI27"/>
    <mergeCell ref="D30:F31"/>
    <mergeCell ref="F57:M57"/>
    <mergeCell ref="W46:X46"/>
    <mergeCell ref="W47:X47"/>
    <mergeCell ref="F47:G47"/>
    <mergeCell ref="U62:X62"/>
    <mergeCell ref="Q60:T60"/>
    <mergeCell ref="Q61:T61"/>
    <mergeCell ref="N51:O51"/>
    <mergeCell ref="K51:M51"/>
    <mergeCell ref="K50:M50"/>
    <mergeCell ref="N50:O50"/>
    <mergeCell ref="W52:X52"/>
    <mergeCell ref="N46:R46"/>
    <mergeCell ref="N47:R47"/>
    <mergeCell ref="H52:J52"/>
    <mergeCell ref="K52:M52"/>
    <mergeCell ref="F59:M59"/>
    <mergeCell ref="Q58:T58"/>
    <mergeCell ref="Q56:T56"/>
    <mergeCell ref="Q59:T59"/>
    <mergeCell ref="D54:E54"/>
    <mergeCell ref="P50:R50"/>
    <mergeCell ref="S50:U50"/>
    <mergeCell ref="K47:M47"/>
    <mergeCell ref="H47:J47"/>
    <mergeCell ref="C50:E50"/>
    <mergeCell ref="C46:E46"/>
    <mergeCell ref="F46:G46"/>
    <mergeCell ref="H46:J46"/>
    <mergeCell ref="K46:M46"/>
    <mergeCell ref="D51:E51"/>
    <mergeCell ref="K48:M48"/>
    <mergeCell ref="N48:R48"/>
    <mergeCell ref="C48:E48"/>
    <mergeCell ref="F48:G48"/>
    <mergeCell ref="H48:J48"/>
    <mergeCell ref="P52:R52"/>
    <mergeCell ref="D52:E52"/>
    <mergeCell ref="P53:R53"/>
    <mergeCell ref="C49:AA49"/>
    <mergeCell ref="D53:E53"/>
    <mergeCell ref="C47:E47"/>
    <mergeCell ref="F51:G51"/>
    <mergeCell ref="AC47:AF47"/>
    <mergeCell ref="AB52:AG52"/>
    <mergeCell ref="AB50:AG50"/>
    <mergeCell ref="AB51:AG51"/>
    <mergeCell ref="N57:P57"/>
    <mergeCell ref="AB55:AG55"/>
    <mergeCell ref="Z48:AB48"/>
    <mergeCell ref="N52:O52"/>
    <mergeCell ref="H53:J53"/>
    <mergeCell ref="K53:M53"/>
    <mergeCell ref="N53:O53"/>
    <mergeCell ref="H54:J54"/>
    <mergeCell ref="K54:M54"/>
    <mergeCell ref="N54:O54"/>
    <mergeCell ref="H55:J55"/>
    <mergeCell ref="K55:M55"/>
    <mergeCell ref="N55:O55"/>
    <mergeCell ref="W56:X56"/>
    <mergeCell ref="P51:R51"/>
    <mergeCell ref="W53:X53"/>
    <mergeCell ref="W51:X51"/>
    <mergeCell ref="V50:X50"/>
    <mergeCell ref="W48:X48"/>
    <mergeCell ref="F56:P56"/>
    <mergeCell ref="AH53:AI53"/>
    <mergeCell ref="AH54:AI54"/>
    <mergeCell ref="C67:D67"/>
    <mergeCell ref="H67:I67"/>
    <mergeCell ref="J67:K67"/>
    <mergeCell ref="L67:M67"/>
    <mergeCell ref="E67:G67"/>
    <mergeCell ref="Y57:Z57"/>
    <mergeCell ref="C58:E58"/>
    <mergeCell ref="C62:E62"/>
    <mergeCell ref="D55:E55"/>
    <mergeCell ref="N61:P61"/>
    <mergeCell ref="C56:E56"/>
    <mergeCell ref="Y59:Z59"/>
    <mergeCell ref="Y60:Z60"/>
    <mergeCell ref="C61:E61"/>
    <mergeCell ref="N67:Y67"/>
    <mergeCell ref="F62:M62"/>
    <mergeCell ref="N59:P59"/>
    <mergeCell ref="U56:V56"/>
    <mergeCell ref="N60:P60"/>
    <mergeCell ref="C57:E57"/>
    <mergeCell ref="N62:P62"/>
    <mergeCell ref="N58:P58"/>
    <mergeCell ref="AH59:AI59"/>
    <mergeCell ref="S54:U54"/>
    <mergeCell ref="AH55:AI55"/>
    <mergeCell ref="P54:R54"/>
    <mergeCell ref="AB59:AG59"/>
    <mergeCell ref="AB54:AG54"/>
    <mergeCell ref="U59:X59"/>
    <mergeCell ref="Y58:Z58"/>
    <mergeCell ref="S55:U55"/>
    <mergeCell ref="C60:E60"/>
    <mergeCell ref="F60:M60"/>
    <mergeCell ref="AB53:AG53"/>
    <mergeCell ref="W54:X54"/>
    <mergeCell ref="F61:M61"/>
    <mergeCell ref="U60:X60"/>
    <mergeCell ref="F58:M58"/>
    <mergeCell ref="P55:R55"/>
    <mergeCell ref="C13:C16"/>
    <mergeCell ref="C18:C21"/>
    <mergeCell ref="D17:O17"/>
    <mergeCell ref="Q23:S26"/>
    <mergeCell ref="O20:O21"/>
    <mergeCell ref="C23:C26"/>
    <mergeCell ref="T28:X31"/>
    <mergeCell ref="T23:X26"/>
    <mergeCell ref="D13:F14"/>
    <mergeCell ref="AA18:AA21"/>
    <mergeCell ref="Y23:Y26"/>
    <mergeCell ref="Y13:Y16"/>
    <mergeCell ref="D25:F26"/>
    <mergeCell ref="O25:O26"/>
    <mergeCell ref="D27:O27"/>
    <mergeCell ref="C59:E59"/>
    <mergeCell ref="BX7:BX8"/>
    <mergeCell ref="BQ15:BQ16"/>
    <mergeCell ref="BQ9:BQ10"/>
    <mergeCell ref="O13:O14"/>
    <mergeCell ref="P17:AI17"/>
    <mergeCell ref="P12:AI12"/>
    <mergeCell ref="AF13:AI13"/>
    <mergeCell ref="AF14:AI14"/>
    <mergeCell ref="D12:O12"/>
    <mergeCell ref="L10:N10"/>
    <mergeCell ref="L11:N11"/>
    <mergeCell ref="L15:N15"/>
    <mergeCell ref="L16:N16"/>
    <mergeCell ref="L14:N14"/>
    <mergeCell ref="T8:X11"/>
    <mergeCell ref="G13:K14"/>
    <mergeCell ref="L8:N8"/>
    <mergeCell ref="G15:K16"/>
    <mergeCell ref="D10:F11"/>
    <mergeCell ref="O10:O11"/>
    <mergeCell ref="D7:F7"/>
    <mergeCell ref="G7:K7"/>
    <mergeCell ref="L7:O7"/>
    <mergeCell ref="Q7:S7"/>
    <mergeCell ref="L13:N13"/>
    <mergeCell ref="L18:N18"/>
    <mergeCell ref="Q18:S21"/>
    <mergeCell ref="L20:N20"/>
    <mergeCell ref="L26:N26"/>
    <mergeCell ref="L25:N25"/>
    <mergeCell ref="L24:N24"/>
    <mergeCell ref="L23:N23"/>
    <mergeCell ref="L21:N21"/>
    <mergeCell ref="L19:N19"/>
    <mergeCell ref="D20:F21"/>
    <mergeCell ref="O15:O16"/>
    <mergeCell ref="G3:K3"/>
    <mergeCell ref="M3:Z3"/>
    <mergeCell ref="T13:X16"/>
    <mergeCell ref="Q8:S11"/>
    <mergeCell ref="L9:N9"/>
    <mergeCell ref="C3:F3"/>
    <mergeCell ref="Y2:AI2"/>
    <mergeCell ref="C8:C11"/>
    <mergeCell ref="C4:F5"/>
    <mergeCell ref="H5:I5"/>
    <mergeCell ref="D8:F9"/>
    <mergeCell ref="Q13:S16"/>
    <mergeCell ref="AB3:AI3"/>
    <mergeCell ref="AF10:AI10"/>
    <mergeCell ref="AF11:AI11"/>
    <mergeCell ref="J5:X5"/>
    <mergeCell ref="G10:K11"/>
    <mergeCell ref="G8:K9"/>
    <mergeCell ref="AC8:AE9"/>
    <mergeCell ref="D6:O6"/>
    <mergeCell ref="C2:G2"/>
    <mergeCell ref="H2:V2"/>
    <mergeCell ref="W2:X2"/>
    <mergeCell ref="BR2:BW2"/>
    <mergeCell ref="O8:O9"/>
    <mergeCell ref="Y18:Y21"/>
    <mergeCell ref="AC18:AE19"/>
    <mergeCell ref="BP3:BQ3"/>
    <mergeCell ref="BV3:BW3"/>
    <mergeCell ref="BW6:BW7"/>
    <mergeCell ref="BR3:BS3"/>
    <mergeCell ref="BT7:BT8"/>
    <mergeCell ref="AA8:AA11"/>
    <mergeCell ref="Y5:AI5"/>
    <mergeCell ref="BW9:BW10"/>
    <mergeCell ref="AC6:AI6"/>
    <mergeCell ref="AL18:AL21"/>
    <mergeCell ref="AC13:AE14"/>
    <mergeCell ref="AF7:AI7"/>
    <mergeCell ref="AF8:AI8"/>
    <mergeCell ref="AF9:AI9"/>
    <mergeCell ref="Y8:Y11"/>
    <mergeCell ref="Z13:Z16"/>
    <mergeCell ref="Q6:AA6"/>
    <mergeCell ref="AC7:AE7"/>
    <mergeCell ref="T7:X7"/>
    <mergeCell ref="AC28:AE29"/>
    <mergeCell ref="Z43:AB43"/>
    <mergeCell ref="V42:V43"/>
    <mergeCell ref="Y7:AA7"/>
    <mergeCell ref="BQ56:BQ57"/>
    <mergeCell ref="BQ58:BQ59"/>
    <mergeCell ref="BQ60:BQ61"/>
    <mergeCell ref="BQ62:BQ63"/>
    <mergeCell ref="BQ46:BQ47"/>
    <mergeCell ref="BQ48:BQ49"/>
    <mergeCell ref="I33:AI34"/>
    <mergeCell ref="H44:J44"/>
    <mergeCell ref="G23:K24"/>
    <mergeCell ref="G25:K26"/>
    <mergeCell ref="H37:AA37"/>
    <mergeCell ref="O30:O31"/>
    <mergeCell ref="C34:H34"/>
    <mergeCell ref="W44:X44"/>
    <mergeCell ref="AA28:AA31"/>
    <mergeCell ref="G30:K31"/>
    <mergeCell ref="H43:J43"/>
    <mergeCell ref="AA23:AA26"/>
    <mergeCell ref="K43:M43"/>
    <mergeCell ref="C43:E43"/>
    <mergeCell ref="T18:X21"/>
    <mergeCell ref="BS9:BS10"/>
    <mergeCell ref="BT21:BU21"/>
    <mergeCell ref="BQ11:BQ12"/>
    <mergeCell ref="BS11:BS12"/>
    <mergeCell ref="BS13:BS14"/>
    <mergeCell ref="BS15:BS16"/>
    <mergeCell ref="BS17:BS18"/>
    <mergeCell ref="BS19:BS20"/>
    <mergeCell ref="BQ13:BQ14"/>
    <mergeCell ref="BQ17:BQ18"/>
    <mergeCell ref="BQ19:BQ20"/>
    <mergeCell ref="AA13:AA16"/>
    <mergeCell ref="Z8:Z11"/>
    <mergeCell ref="AF15:AI15"/>
    <mergeCell ref="AF16:AI16"/>
    <mergeCell ref="AF18:AI18"/>
    <mergeCell ref="BW11:BW12"/>
    <mergeCell ref="BW13:BW14"/>
    <mergeCell ref="BW15:BW16"/>
    <mergeCell ref="BW17:BW18"/>
    <mergeCell ref="BW19:BW20"/>
    <mergeCell ref="AF24:AI24"/>
    <mergeCell ref="AB23:AB26"/>
    <mergeCell ref="AC23:AE24"/>
    <mergeCell ref="AF23:AI23"/>
    <mergeCell ref="AB18:AB21"/>
    <mergeCell ref="AF19:AI19"/>
    <mergeCell ref="AC25:AE26"/>
    <mergeCell ref="AC20:AE21"/>
    <mergeCell ref="AL13:AL16"/>
    <mergeCell ref="AL8:AL11"/>
    <mergeCell ref="AL23:AL26"/>
    <mergeCell ref="AF20:AI20"/>
    <mergeCell ref="AF21:AI21"/>
    <mergeCell ref="AF25:AI25"/>
    <mergeCell ref="AF26:AI26"/>
    <mergeCell ref="AC10:AE11"/>
    <mergeCell ref="AB8:AB11"/>
    <mergeCell ref="AB13:AB16"/>
    <mergeCell ref="AC15:AE16"/>
    <mergeCell ref="G28:K29"/>
    <mergeCell ref="Y28:Y31"/>
    <mergeCell ref="Z28:Z31"/>
    <mergeCell ref="C40:G41"/>
    <mergeCell ref="S42:U43"/>
    <mergeCell ref="C33:H33"/>
    <mergeCell ref="Q28:S31"/>
    <mergeCell ref="L29:N29"/>
    <mergeCell ref="L28:N28"/>
    <mergeCell ref="C28:C31"/>
    <mergeCell ref="AC44:AF44"/>
    <mergeCell ref="L31:N31"/>
    <mergeCell ref="L30:N30"/>
    <mergeCell ref="AF30:AI30"/>
    <mergeCell ref="AF31:AI31"/>
    <mergeCell ref="AL61:AL64"/>
    <mergeCell ref="AH58:AI58"/>
    <mergeCell ref="AL28:AL31"/>
    <mergeCell ref="AF28:AI28"/>
    <mergeCell ref="AH62:AI62"/>
    <mergeCell ref="AH61:AI61"/>
    <mergeCell ref="AB61:AG61"/>
    <mergeCell ref="AB62:AG62"/>
    <mergeCell ref="Z46:AB46"/>
    <mergeCell ref="AF29:AI29"/>
    <mergeCell ref="AD37:AI37"/>
    <mergeCell ref="AC30:AE31"/>
    <mergeCell ref="AB37:AC37"/>
    <mergeCell ref="AB28:AB31"/>
    <mergeCell ref="AC43:AF43"/>
    <mergeCell ref="S53:U53"/>
    <mergeCell ref="U57:X57"/>
    <mergeCell ref="Q57:T57"/>
    <mergeCell ref="U58:X58"/>
    <mergeCell ref="H65:J65"/>
    <mergeCell ref="BT79:BT80"/>
    <mergeCell ref="BT81:BT82"/>
    <mergeCell ref="BT73:BT74"/>
    <mergeCell ref="BT75:BT76"/>
    <mergeCell ref="BT77:BT78"/>
    <mergeCell ref="BQ38:BQ39"/>
    <mergeCell ref="BQ54:BQ55"/>
    <mergeCell ref="BQ44:BQ45"/>
    <mergeCell ref="BQ52:BQ53"/>
    <mergeCell ref="W43:Y43"/>
    <mergeCell ref="V39:X39"/>
    <mergeCell ref="Y39:AI39"/>
    <mergeCell ref="AH52:AI52"/>
    <mergeCell ref="AH50:AI50"/>
    <mergeCell ref="AL46:AL49"/>
    <mergeCell ref="AA63:AI63"/>
    <mergeCell ref="AH57:AI57"/>
    <mergeCell ref="N44:R44"/>
    <mergeCell ref="H39:U39"/>
    <mergeCell ref="Z42:AI42"/>
    <mergeCell ref="Z44:AB44"/>
    <mergeCell ref="AH60:AI60"/>
    <mergeCell ref="AB57:AG57"/>
    <mergeCell ref="BY6:BY16"/>
    <mergeCell ref="F50:G50"/>
    <mergeCell ref="F52:G52"/>
    <mergeCell ref="F53:G53"/>
    <mergeCell ref="F54:G54"/>
    <mergeCell ref="F55:G55"/>
    <mergeCell ref="H50:J50"/>
    <mergeCell ref="H51:J51"/>
    <mergeCell ref="D18:F19"/>
    <mergeCell ref="O18:O19"/>
    <mergeCell ref="D15:F16"/>
    <mergeCell ref="Z18:Z21"/>
    <mergeCell ref="G18:K19"/>
    <mergeCell ref="G20:K21"/>
    <mergeCell ref="P32:AI32"/>
    <mergeCell ref="D32:O32"/>
    <mergeCell ref="AL41:AL44"/>
    <mergeCell ref="AA38:AI38"/>
    <mergeCell ref="H40:AI41"/>
    <mergeCell ref="O28:O29"/>
    <mergeCell ref="P22:AI22"/>
    <mergeCell ref="Z23:Z26"/>
    <mergeCell ref="Y38:Z38"/>
    <mergeCell ref="K44:M44"/>
    <mergeCell ref="BQ26:BQ30"/>
    <mergeCell ref="BV64:BV65"/>
    <mergeCell ref="BV66:BV67"/>
    <mergeCell ref="BV68:BV69"/>
    <mergeCell ref="BV70:BV71"/>
    <mergeCell ref="BQ70:BQ71"/>
    <mergeCell ref="BS64:BS65"/>
    <mergeCell ref="BS66:BS67"/>
    <mergeCell ref="BS68:BS69"/>
    <mergeCell ref="BS70:BS71"/>
    <mergeCell ref="BT66:BT67"/>
    <mergeCell ref="BT68:BT69"/>
    <mergeCell ref="BT70:BT71"/>
    <mergeCell ref="BU66:BU67"/>
    <mergeCell ref="BU68:BU69"/>
    <mergeCell ref="BU70:BU71"/>
    <mergeCell ref="BT64:BT65"/>
    <mergeCell ref="BQ68:BQ69"/>
    <mergeCell ref="BQ66:BQ67"/>
    <mergeCell ref="BQ40:BQ41"/>
    <mergeCell ref="BQ42:BQ43"/>
    <mergeCell ref="BQ50:BQ51"/>
    <mergeCell ref="BU64:BU65"/>
    <mergeCell ref="BQ64:BQ65"/>
  </mergeCells>
  <phoneticPr fontId="12" type="noConversion"/>
  <printOptions horizontalCentered="1"/>
  <pageMargins left="0.70866141732283472" right="0.70866141732283472" top="0" bottom="0.74803149606299213" header="0.31496062992125984" footer="0.31496062992125984"/>
  <pageSetup paperSize="9" fitToHeight="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B0419-6B2E-44AB-B242-5744E78EA6C5}">
  <sheetPr codeName="Foglio4">
    <pageSetUpPr fitToPage="1"/>
  </sheetPr>
  <dimension ref="A1:AW102"/>
  <sheetViews>
    <sheetView showGridLines="0" showRowColHeaders="0" view="pageBreakPreview" topLeftCell="A109" zoomScaleNormal="100" zoomScaleSheetLayoutView="100" workbookViewId="0">
      <selection activeCell="D165" sqref="D165"/>
    </sheetView>
  </sheetViews>
  <sheetFormatPr defaultRowHeight="13.2"/>
  <cols>
    <col min="1" max="1" width="29.33203125" style="4" customWidth="1"/>
    <col min="2" max="2" width="9.6640625" style="4" customWidth="1"/>
    <col min="3" max="3" width="10.109375" bestFit="1" customWidth="1"/>
    <col min="4" max="4" width="15.88671875" customWidth="1"/>
    <col min="5" max="5" width="15.6640625" customWidth="1"/>
    <col min="6" max="6" width="15.33203125" customWidth="1"/>
    <col min="7" max="7" width="17.33203125" customWidth="1"/>
    <col min="8" max="8" width="15.6640625" customWidth="1"/>
    <col min="9" max="9" width="4.6640625" customWidth="1"/>
    <col min="10" max="10" width="8.6640625" customWidth="1"/>
    <col min="11" max="11" width="24.109375" customWidth="1"/>
    <col min="12" max="12" width="5" customWidth="1"/>
    <col min="13" max="13" width="9.6640625" bestFit="1" customWidth="1"/>
    <col min="14" max="14" width="34.5546875" customWidth="1"/>
    <col min="15" max="15" width="9.6640625" customWidth="1"/>
    <col min="16" max="19" width="12.6640625" customWidth="1"/>
    <col min="20" max="20" width="17.77734375" customWidth="1"/>
    <col min="21" max="21" width="10.6640625" customWidth="1"/>
    <col min="22" max="22" width="14.33203125" customWidth="1"/>
    <col min="23" max="23" width="10.6640625" customWidth="1"/>
    <col min="24" max="24" width="14.33203125" customWidth="1"/>
    <col min="25" max="25" width="9.109375" customWidth="1"/>
    <col min="27" max="27" width="31.6640625" customWidth="1"/>
    <col min="28" max="29" width="22.6640625" customWidth="1"/>
    <col min="30" max="35" width="23.6640625" customWidth="1"/>
    <col min="36" max="52" width="25.6640625" customWidth="1"/>
  </cols>
  <sheetData>
    <row r="1" spans="1:38" hidden="1">
      <c r="A1" s="52"/>
      <c r="B1" s="53" t="s">
        <v>8</v>
      </c>
      <c r="C1" s="53" t="s">
        <v>10</v>
      </c>
      <c r="D1" s="53" t="s">
        <v>11</v>
      </c>
      <c r="E1" s="53" t="s">
        <v>9</v>
      </c>
      <c r="F1" s="53" t="s">
        <v>12</v>
      </c>
      <c r="J1" s="758" t="s">
        <v>41</v>
      </c>
      <c r="K1" s="759"/>
      <c r="L1" s="19"/>
      <c r="M1" s="20"/>
      <c r="N1" s="21" t="s">
        <v>70</v>
      </c>
      <c r="P1" s="755" t="s">
        <v>99</v>
      </c>
      <c r="S1" s="53" t="s">
        <v>8</v>
      </c>
      <c r="T1" s="53" t="s">
        <v>10</v>
      </c>
      <c r="U1" s="53" t="s">
        <v>11</v>
      </c>
      <c r="V1" s="53" t="s">
        <v>9</v>
      </c>
      <c r="W1" s="53" t="s">
        <v>12</v>
      </c>
      <c r="AD1" s="50" t="s">
        <v>174</v>
      </c>
    </row>
    <row r="2" spans="1:38" ht="23.1" hidden="1" customHeight="1" thickBot="1">
      <c r="A2" s="288" t="s">
        <v>258</v>
      </c>
      <c r="B2" s="289" t="s">
        <v>100</v>
      </c>
      <c r="C2" s="289" t="s">
        <v>100</v>
      </c>
      <c r="D2" s="289" t="s">
        <v>100</v>
      </c>
      <c r="E2" s="289" t="s">
        <v>100</v>
      </c>
      <c r="F2" s="289" t="s">
        <v>100</v>
      </c>
      <c r="G2" s="46" t="s">
        <v>22</v>
      </c>
      <c r="I2">
        <f>SUM(I3:I23)</f>
        <v>0</v>
      </c>
      <c r="J2" s="14" t="b">
        <v>1</v>
      </c>
      <c r="K2" s="13"/>
      <c r="L2" s="22">
        <f>SUM(L3:L25)</f>
        <v>0</v>
      </c>
      <c r="M2" s="23" t="b">
        <v>1</v>
      </c>
      <c r="N2" s="24"/>
      <c r="P2" s="755"/>
      <c r="S2" s="51" t="s">
        <v>101</v>
      </c>
      <c r="T2" s="51" t="s">
        <v>101</v>
      </c>
      <c r="U2" s="51" t="s">
        <v>101</v>
      </c>
      <c r="V2" s="51" t="s">
        <v>101</v>
      </c>
      <c r="W2" s="51" t="s">
        <v>101</v>
      </c>
      <c r="X2" s="119">
        <f>SUM(X3:X10)</f>
        <v>0</v>
      </c>
      <c r="Y2" s="119"/>
      <c r="Z2" s="145" t="s">
        <v>163</v>
      </c>
      <c r="AD2" s="50" t="s">
        <v>52</v>
      </c>
    </row>
    <row r="3" spans="1:38" ht="23.1" hidden="1" customHeight="1">
      <c r="A3" s="292">
        <f>IF(AND($I$25&gt;0,I3&gt;0),15+32.25,IF(AND($I$25=0,I3&gt;0),32.25,0))</f>
        <v>0</v>
      </c>
      <c r="B3" s="293" t="str">
        <f>IF(AND(MODULO!$B$49&gt;0,$I$3&gt;0,MODULO!$AW$35=""),SUM((MODULO!$D$49*$G$3)+(MODULO!$D$49*$G$4)+(MODULO!$M$49*2*$G$5))/1000,"")</f>
        <v/>
      </c>
      <c r="C3" s="293" t="str">
        <f>IF(AND(MODULO!$B$53&gt;0,$I$3&gt;0,MODULO!$BJ$35=""),SUM((MODULO!$D$53*$G$3)+(MODULO!$D$53*$G$4)+(MODULO!$M$53*2*$G$5))/1000,"")</f>
        <v/>
      </c>
      <c r="D3" s="293" t="str">
        <f>IF(AND(MODULO!$B$57&gt;0,$I$3&gt;0,MODULO!$BW$35=""),SUM((MODULO!$D$57*$G$3)+(MODULO!$D$57*$G$4)+(MODULO!$M$57*2*$G$5))/1000,"")</f>
        <v/>
      </c>
      <c r="E3" s="293" t="str">
        <f>IF(AND(MODULO!$B$61&gt;0,$I$3&gt;0,MODULO!$AW$71=""),SUM((MODULO!$D$61*$G$3)+(MODULO!$D$61*$G$4)+(MODULO!$M$61*2*$G$5))/1000,"")</f>
        <v/>
      </c>
      <c r="F3" s="293" t="str">
        <f>IF(AND(MODULO!$B$65&gt;0,I3&gt;0,MODULO!$BJ$71=""),SUM((MODULO!$D$65*G3)+(MODULO!$D$65*G4)+(MODULO!$M$65*2*G5))/1000,"")</f>
        <v/>
      </c>
      <c r="G3" s="294">
        <v>16.72</v>
      </c>
      <c r="H3" s="760">
        <f>SUM(I3)</f>
        <v>0</v>
      </c>
      <c r="I3" s="581">
        <f>IF(J3="VERO",1,0)</f>
        <v>0</v>
      </c>
      <c r="J3" s="768" t="str">
        <f>IF(AND(MODULO!$M$26="art. PB03",MODULO!$M$29="metal grey"),"VERO","FALSO")</f>
        <v>FALSO</v>
      </c>
      <c r="K3" s="18" t="s">
        <v>261</v>
      </c>
      <c r="M3" s="16"/>
      <c r="N3" s="284"/>
      <c r="O3" s="581">
        <f>SUM(H3:H9,I10:I11)</f>
        <v>0</v>
      </c>
      <c r="P3" s="47"/>
      <c r="S3" s="54"/>
      <c r="T3" s="54"/>
      <c r="U3" s="54"/>
      <c r="V3" s="54"/>
      <c r="W3" s="54"/>
      <c r="X3" s="118"/>
      <c r="AA3" s="40"/>
      <c r="AB3" s="40"/>
      <c r="AC3" s="40"/>
      <c r="AD3" s="40"/>
      <c r="AE3" s="40"/>
      <c r="AF3" s="40"/>
      <c r="AG3" s="40"/>
      <c r="AH3" s="40"/>
      <c r="AI3" s="40"/>
    </row>
    <row r="4" spans="1:38" ht="23.1" hidden="1" customHeight="1">
      <c r="A4" s="295"/>
      <c r="B4" s="54"/>
      <c r="C4" s="54"/>
      <c r="D4" s="54"/>
      <c r="E4" s="54"/>
      <c r="F4" s="286"/>
      <c r="G4" s="296">
        <v>23.1</v>
      </c>
      <c r="H4" s="587"/>
      <c r="I4" s="763"/>
      <c r="J4" s="768"/>
      <c r="K4" s="18" t="s">
        <v>262</v>
      </c>
      <c r="M4" s="16"/>
      <c r="N4" s="284"/>
      <c r="O4" s="763"/>
      <c r="P4" s="47"/>
      <c r="S4" s="54"/>
      <c r="T4" s="54"/>
      <c r="U4" s="54"/>
      <c r="V4" s="54"/>
      <c r="W4" s="54"/>
      <c r="X4" s="118"/>
      <c r="AA4" s="40"/>
      <c r="AB4" s="40"/>
      <c r="AC4" s="40"/>
      <c r="AD4" s="40"/>
      <c r="AE4" s="40"/>
      <c r="AF4" s="40"/>
      <c r="AG4" s="40"/>
      <c r="AH4" s="40"/>
      <c r="AI4" s="40"/>
    </row>
    <row r="5" spans="1:38" ht="23.1" hidden="1" customHeight="1" thickBot="1">
      <c r="A5" s="297"/>
      <c r="B5" s="298"/>
      <c r="C5" s="298"/>
      <c r="D5" s="298"/>
      <c r="E5" s="298"/>
      <c r="F5" s="298"/>
      <c r="G5" s="299">
        <v>18.350000000000001</v>
      </c>
      <c r="H5" s="761"/>
      <c r="I5" s="582"/>
      <c r="J5" s="768"/>
      <c r="K5" s="18" t="s">
        <v>263</v>
      </c>
      <c r="M5" s="16"/>
      <c r="N5" s="284"/>
      <c r="O5" s="582"/>
      <c r="P5" s="47"/>
      <c r="S5" s="54"/>
      <c r="T5" s="54"/>
      <c r="U5" s="54"/>
      <c r="V5" s="54"/>
      <c r="W5" s="54"/>
      <c r="X5" s="118" t="s">
        <v>277</v>
      </c>
      <c r="AA5" s="40"/>
      <c r="AB5" s="40"/>
      <c r="AC5" s="40"/>
      <c r="AD5" s="40"/>
      <c r="AE5" s="40"/>
      <c r="AF5" s="40"/>
      <c r="AG5" s="40"/>
      <c r="AH5" s="40"/>
      <c r="AI5" s="40"/>
    </row>
    <row r="6" spans="1:38" ht="23.1" hidden="1" customHeight="1" thickBot="1">
      <c r="A6" s="290">
        <f>IF(AND($I$25&gt;0,I6&gt;0),15+20.1,IF(AND($I$25=0,I6&gt;0),20.1,0))</f>
        <v>0</v>
      </c>
      <c r="B6" s="291" t="str">
        <f>IF(I6&gt;0,SUM(MODULO!$D$49+MODULO!$M$49)*2/1000*G6,"")</f>
        <v/>
      </c>
      <c r="C6" s="291" t="str">
        <f>IF(I6&gt;0,SUM(MODULO!$D$53+MODULO!$M$53)*2/1000*G6,"")</f>
        <v/>
      </c>
      <c r="D6" s="291" t="str">
        <f>IF(I6&gt;0,SUM(MODULO!$D$57+MODULO!$M$57)*2/1000*G6,"")</f>
        <v/>
      </c>
      <c r="E6" s="291" t="str">
        <f>IF(I6&gt;0,SUM(MODULO!$D$61+MODULO!$M$61)*2/1000*G6,"")</f>
        <v/>
      </c>
      <c r="F6" s="291" t="str">
        <f>IF(I6&gt;0,SUM(MODULO!$D$65+MODULO!$M$65)*2/1000*G6,"")</f>
        <v/>
      </c>
      <c r="G6" s="57">
        <v>13.53</v>
      </c>
      <c r="H6" s="581">
        <f>SUM(I6:I7)</f>
        <v>0</v>
      </c>
      <c r="I6" s="28">
        <f t="shared" ref="I6" si="0">IF(J6="VERO",1,0)</f>
        <v>0</v>
      </c>
      <c r="J6" s="15" t="str">
        <f>IF(AND(MODULO!$M$26="art. PR20",MODULO!$M$29="alluminio anodizzato"),"VERO","FALSO")</f>
        <v>FALSO</v>
      </c>
      <c r="K6" s="18" t="s">
        <v>36</v>
      </c>
      <c r="L6">
        <f>IF(M6="VERO",1,0)</f>
        <v>0</v>
      </c>
      <c r="M6" s="16" t="b">
        <f>IF(MODULO!$M$38="GRES","VERO",FALSE)</f>
        <v>0</v>
      </c>
      <c r="N6" s="27" t="s">
        <v>69</v>
      </c>
      <c r="O6" s="744">
        <f>SUM(I6:I7)</f>
        <v>0</v>
      </c>
      <c r="P6" s="47">
        <v>0</v>
      </c>
      <c r="S6" s="54" t="str">
        <f>IF(L6&gt;0,SUM(MODULO!$D$49*MODULO!$M$49)/1000000*P6,"")</f>
        <v/>
      </c>
      <c r="T6" s="54" t="str">
        <f>IF(L6&gt;0,SUM(MODULO!$D$53*MODULO!$M$53)/1000000*P6,"")</f>
        <v/>
      </c>
      <c r="U6" s="54" t="str">
        <f>IF(L6&gt;0,SUM(MODULO!$D$57*MODULO!$M$57)/1000000*P6,"")</f>
        <v/>
      </c>
      <c r="V6" s="54" t="str">
        <f>IF(L6&gt;0,SUM(MODULO!$D$61*MODULO!$M$61)/1000000*P6,"")</f>
        <v/>
      </c>
      <c r="W6" s="306" t="str">
        <f>IF(L6&gt;0,SUM(MODULO!$D$65*MODULO!$M$65)/1000000*P6,"")</f>
        <v/>
      </c>
      <c r="X6" s="307">
        <f>IF(OR(DATI!$O$6=1,DATI!$O$10=1)*AND(MODULO!$D$49&gt;2100),1,IF(OR($O$8=1,$I$3=1,$O$19=1)*AND(MODULO!$D$49&gt;2800),1,IF(OR($I$12=1,$I$14=1,$I$18=1)*AND(MODULO!$D$49&gt;3000),1,IF(AND($O$22=1,MODULO!$D$49&gt;2500),1,0))))</f>
        <v>0</v>
      </c>
      <c r="Y6">
        <v>49</v>
      </c>
      <c r="Z6">
        <f>IF(OR(MODULO!$AN$42="FREE FLAP MINI",MODULO!$AN$42="FREE FLAP FORTE",MODULO!$AN$42="FREE SWING",MODULO!$AN$42="FREE SLIDE",MODULO!$AN$42="FREE SPACE"),1,0)</f>
        <v>0</v>
      </c>
      <c r="AA6" s="40" t="s">
        <v>181</v>
      </c>
      <c r="AB6" s="40" t="s">
        <v>82</v>
      </c>
      <c r="AC6" s="40" t="s">
        <v>107</v>
      </c>
      <c r="AD6" s="40" t="s">
        <v>73</v>
      </c>
      <c r="AE6" s="40" t="s">
        <v>182</v>
      </c>
      <c r="AF6" s="302" t="s">
        <v>183</v>
      </c>
      <c r="AG6" s="40" t="s">
        <v>184</v>
      </c>
      <c r="AH6" s="40" t="s">
        <v>185</v>
      </c>
      <c r="AI6" s="40" t="s">
        <v>186</v>
      </c>
      <c r="AJ6" s="40" t="s">
        <v>269</v>
      </c>
      <c r="AK6" s="40"/>
      <c r="AL6" s="40" t="s">
        <v>265</v>
      </c>
    </row>
    <row r="7" spans="1:38" ht="23.1" hidden="1" customHeight="1" thickBot="1">
      <c r="A7" s="49">
        <f>IF(AND($I$25&gt;0,I7&gt;0),15+20.1,IF(AND($I$25=0,I7&gt;0),20.1,0))</f>
        <v>0</v>
      </c>
      <c r="B7" s="54" t="str">
        <f>IF(I7&gt;0,SUM(MODULO!$D$49+MODULO!$M$49)*2/1000*G7,"")</f>
        <v/>
      </c>
      <c r="C7" s="54" t="str">
        <f>IF(I7&gt;0,SUM(MODULO!$D$53+MODULO!$M$53)*2/1000*G7,"")</f>
        <v/>
      </c>
      <c r="D7" s="54" t="str">
        <f>IF(I7&gt;0,SUM(MODULO!$D$57+MODULO!$M$57)*2/1000*G7,"")</f>
        <v/>
      </c>
      <c r="E7" s="54" t="str">
        <f>IF(I7&gt;0,SUM(MODULO!$D$61+MODULO!$M$61)*2/1000*G7,"")</f>
        <v/>
      </c>
      <c r="F7" s="54" t="str">
        <f>IF(I7&gt;0,SUM(MODULO!$D$65+MODULO!$M$65)*2/1000*G7,"")</f>
        <v/>
      </c>
      <c r="G7" s="57">
        <v>14</v>
      </c>
      <c r="H7" s="582"/>
      <c r="I7" s="28">
        <f t="shared" ref="I7:I20" si="1">IF(J7="VERO",1,0)</f>
        <v>0</v>
      </c>
      <c r="J7" s="15" t="str">
        <f>IF(AND(MODULO!$M$26="art. PR20",MODULO!$M$29="METAL GREY"),"VERO","FALSO")</f>
        <v>FALSO</v>
      </c>
      <c r="K7" s="18" t="s">
        <v>259</v>
      </c>
      <c r="L7">
        <f t="shared" ref="L7:L13" si="2">IF(M7="VERO",1,0)</f>
        <v>0</v>
      </c>
      <c r="M7" s="16" t="b">
        <f>IF(MODULO!$M$38="TRASPARENTE","VERO",FALSE)</f>
        <v>0</v>
      </c>
      <c r="N7" s="17" t="s">
        <v>20</v>
      </c>
      <c r="O7" s="744"/>
      <c r="P7" s="47">
        <v>39.659999999999997</v>
      </c>
      <c r="S7" s="54" t="str">
        <f>IF(L7&gt;0,SUM(MODULO!$D$49*MODULO!$M$49)/1000000*P7,"")</f>
        <v/>
      </c>
      <c r="T7" s="54" t="str">
        <f>IF(L7&gt;0,SUM(MODULO!$D$53*MODULO!$M$53)/1000000*P7,"")</f>
        <v/>
      </c>
      <c r="U7" s="54" t="str">
        <f>IF(L7&gt;0,SUM(MODULO!$D$57*MODULO!$M$57)/1000000*P7,"")</f>
        <v/>
      </c>
      <c r="V7" s="54" t="str">
        <f>IF(L7&gt;0,SUM(MODULO!$D$61*MODULO!$M$61)/1000000*P7,"")</f>
        <v/>
      </c>
      <c r="W7" s="306" t="str">
        <f>IF(L7&gt;0,SUM(MODULO!$D$65*MODULO!$M$65)/1000000*P7,"")</f>
        <v/>
      </c>
      <c r="X7" s="307">
        <f>IF(OR(DATI!$O$6=1,DATI!$O$10=1)*AND(MODULO!$D$53&gt;2100),1,IF(OR($O$8=1,$I$3=1,$O$19=1)*AND(MODULO!$D$53&gt;2800),1,IF(OR($I$12=1,$I$14=1,$I$18=1)*AND(MODULO!$D$53&gt;3000),1,IF(AND($O$22=1,MODULO!$D$53&gt;2500),1,0))))</f>
        <v>0</v>
      </c>
      <c r="Y7">
        <v>53</v>
      </c>
      <c r="Z7">
        <f>IF(OR(MODULO!$AN$46="FREE FLAP MINI",MODULO!$AN$46="FREE FLAP FORTE",MODULO!$AN$46="FREE SWING",MODULO!$AN$46="FREE SLIDE",MODULO!$AN$46="FREE SPACE"),1,0)</f>
        <v>0</v>
      </c>
      <c r="AA7" s="40" t="s">
        <v>82</v>
      </c>
      <c r="AB7" s="163" t="s">
        <v>175</v>
      </c>
      <c r="AC7" s="163" t="s">
        <v>176</v>
      </c>
      <c r="AD7" s="163" t="s">
        <v>175</v>
      </c>
      <c r="AE7" s="163" t="s">
        <v>175</v>
      </c>
      <c r="AF7" s="303" t="s">
        <v>175</v>
      </c>
      <c r="AG7" s="163" t="s">
        <v>175</v>
      </c>
      <c r="AH7" s="163" t="s">
        <v>175</v>
      </c>
      <c r="AI7" s="163" t="s">
        <v>179</v>
      </c>
      <c r="AJ7" s="163" t="s">
        <v>177</v>
      </c>
      <c r="AK7" s="163"/>
      <c r="AL7" s="163" t="s">
        <v>177</v>
      </c>
    </row>
    <row r="8" spans="1:38" ht="23.1" hidden="1" customHeight="1" thickBot="1">
      <c r="A8" s="49">
        <f>IF(AND($I$25&gt;0,I8&gt;0),15+28.2,IF(AND($I$25=0,I8&gt;0),28.2,0))</f>
        <v>0</v>
      </c>
      <c r="B8" s="54" t="str">
        <f>IF(I8&gt;0,SUM(MODULO!$D$49+MODULO!$M$49)*2/1000*G8,"")</f>
        <v/>
      </c>
      <c r="C8" s="54" t="str">
        <f>IF(I8&gt;0,SUM(MODULO!$D$53+MODULO!$M$53)*2/1000*G8,"")</f>
        <v/>
      </c>
      <c r="D8" s="54" t="str">
        <f>IF(I8&gt;0,SUM(MODULO!$D$57+MODULO!$M$57)*2/1000*G8,"")</f>
        <v/>
      </c>
      <c r="E8" s="54" t="str">
        <f>IF(I8&gt;0,SUM(MODULO!$D$61+MODULO!$M$61)*2/1000*G8,"")</f>
        <v/>
      </c>
      <c r="F8" s="54" t="str">
        <f>IF(I8&gt;0,SUM(MODULO!$D$65+MODULO!$M$65)*2/1000*G8,"")</f>
        <v/>
      </c>
      <c r="G8" s="57">
        <v>18.93</v>
      </c>
      <c r="H8" s="762">
        <f>SUM(I8:I9)</f>
        <v>0</v>
      </c>
      <c r="I8" s="28">
        <f t="shared" ref="I8:I16" si="3">IF(J8="VERO",1,0)</f>
        <v>0</v>
      </c>
      <c r="J8" s="15" t="str">
        <f>IF(AND(MODULO!$M$26="art. PR30",OR(MODULO!$M$29="metal grey",MODULO!$M$29="moonlight")),"VERO","FALSO")</f>
        <v>FALSO</v>
      </c>
      <c r="K8" s="18" t="s">
        <v>253</v>
      </c>
      <c r="L8">
        <f t="shared" si="2"/>
        <v>0</v>
      </c>
      <c r="M8" s="16" t="b">
        <f>IF(MODULO!$M$38="TRASPARENTE EXTRACHIARO","VERO",FALSE)</f>
        <v>0</v>
      </c>
      <c r="N8" s="17" t="s">
        <v>24</v>
      </c>
      <c r="O8" s="744">
        <f>SUM(I8:I9)</f>
        <v>0</v>
      </c>
      <c r="P8" s="47">
        <v>50.76</v>
      </c>
      <c r="Q8">
        <f>SUM(O3:O11)</f>
        <v>0</v>
      </c>
      <c r="S8" s="54" t="str">
        <f>IF(L8&gt;0,SUM(MODULO!$D$49*MODULO!$M$49)/1000000*P8,"")</f>
        <v/>
      </c>
      <c r="T8" s="54" t="str">
        <f>IF(L8&gt;0,SUM(MODULO!$D$53*MODULO!$M$53)/1000000*P8,"")</f>
        <v/>
      </c>
      <c r="U8" s="54" t="str">
        <f>IF(L8&gt;0,SUM(MODULO!$D$57*MODULO!$M$57)/1000000*P8,"")</f>
        <v/>
      </c>
      <c r="V8" s="54" t="str">
        <f>IF(L8&gt;0,SUM(MODULO!$D$61*MODULO!$M$61)/1000000*P8,"")</f>
        <v/>
      </c>
      <c r="W8" s="306" t="str">
        <f>IF(L8&gt;0,SUM(MODULO!$D$65*MODULO!$M$65)/1000000*P8,"")</f>
        <v/>
      </c>
      <c r="X8" s="307">
        <f>IF(OR(DATI!$O$6=1,DATI!$O$10=1)*AND(MODULO!$D$57&gt;2100),1,IF(OR($O$8=1,$I$3=1,$O$19=1)*AND(MODULO!$D$57&gt;2800),1,IF(OR($I$12=1,$I$14=1,$I$18=1)*AND(MODULO!$D$57&gt;3000),1,IF(AND($O$22=1,MODULO!$D$57&gt;2500),1,0))))</f>
        <v>0</v>
      </c>
      <c r="Y8">
        <v>57</v>
      </c>
      <c r="Z8">
        <f>IF(OR(MODULO!$AN$50="FREE FLAP MINI",MODULO!$AN$50="FREE FLAP FORTE",MODULO!$AN$50="FREE SWING",MODULO!$AN$50="FREE SLIDE",MODULO!$AN$50="FREE SPACE"),1,0)</f>
        <v>0</v>
      </c>
      <c r="AA8" s="40" t="s">
        <v>107</v>
      </c>
      <c r="AB8" s="163" t="s">
        <v>177</v>
      </c>
      <c r="AC8" s="163" t="s">
        <v>177</v>
      </c>
      <c r="AD8" s="163" t="s">
        <v>177</v>
      </c>
      <c r="AE8" s="163" t="s">
        <v>177</v>
      </c>
      <c r="AF8" s="63"/>
      <c r="AG8" s="163" t="s">
        <v>215</v>
      </c>
      <c r="AH8" s="163" t="s">
        <v>215</v>
      </c>
      <c r="AI8" s="163" t="s">
        <v>180</v>
      </c>
      <c r="AJ8" s="163" t="s">
        <v>279</v>
      </c>
    </row>
    <row r="9" spans="1:38" ht="23.1" hidden="1" customHeight="1" thickBot="1">
      <c r="A9" s="49">
        <f>IF(AND($I$25&gt;0,I9&gt;0),15+28.2,IF(AND($I$25=0,I9&gt;0),28.2,0))</f>
        <v>0</v>
      </c>
      <c r="B9" s="54" t="str">
        <f>IF(I9&gt;0,SUM(MODULO!$D$49+MODULO!$M$49)*2/1000*G9,"")</f>
        <v/>
      </c>
      <c r="C9" s="54" t="str">
        <f>IF(I9&gt;0,SUM(MODULO!$D$53+MODULO!$M$53)*2/1000*G9,"")</f>
        <v/>
      </c>
      <c r="D9" s="54" t="str">
        <f>IF(I9&gt;0,SUM(MODULO!$D$57+MODULO!$M$57)*2/1000*G9,"")</f>
        <v/>
      </c>
      <c r="E9" s="54" t="str">
        <f>IF(I9&gt;0,SUM(MODULO!$D$61+MODULO!$M$61)*2/1000*G9,"")</f>
        <v/>
      </c>
      <c r="F9" s="54" t="str">
        <f>IF(I9&gt;0,SUM(MODULO!$D$65+MODULO!$M$65)*2/1000*G9,"")</f>
        <v/>
      </c>
      <c r="G9" s="271">
        <v>16.25</v>
      </c>
      <c r="H9" s="762"/>
      <c r="I9" s="34">
        <f t="shared" si="3"/>
        <v>0</v>
      </c>
      <c r="J9" s="15" t="str">
        <f>IF(AND(MODULO!$M$26="art. PR30",MODULO!$M$29="alluminio grezzo"),"VERO","FALSO")</f>
        <v>FALSO</v>
      </c>
      <c r="K9" s="272" t="s">
        <v>37</v>
      </c>
      <c r="L9">
        <f t="shared" si="2"/>
        <v>0</v>
      </c>
      <c r="M9" s="16" t="b">
        <f>IF(MODULO!$M$38="TRASPARENTE EXTRACHIARO LACCATO RAL","VERO",FALSE)</f>
        <v>0</v>
      </c>
      <c r="N9" s="17" t="s">
        <v>23</v>
      </c>
      <c r="O9" s="744"/>
      <c r="P9" s="47">
        <v>114.21</v>
      </c>
      <c r="S9" s="54" t="str">
        <f>IF(L9&gt;0,SUM(MODULO!$D$49*MODULO!$M$49)/1000000*P9,"")</f>
        <v/>
      </c>
      <c r="T9" s="54" t="str">
        <f>IF(L9&gt;0,SUM(MODULO!$D$53*MODULO!$M$53)/1000000*P9,"")</f>
        <v/>
      </c>
      <c r="U9" s="54" t="str">
        <f>IF(L9&gt;0,SUM(MODULO!$D$57*MODULO!$M$57)/1000000*P9,"")</f>
        <v/>
      </c>
      <c r="V9" s="54" t="str">
        <f>IF(L9&gt;0,SUM(MODULO!$D$61*MODULO!$M$61)/1000000*P9,"")</f>
        <v/>
      </c>
      <c r="W9" s="306" t="str">
        <f>IF(L9&gt;0,SUM(MODULO!$D$65*MODULO!$M$65)/1000000*P9,"")</f>
        <v/>
      </c>
      <c r="X9" s="307">
        <f>IF(OR(DATI!$O$6=1,DATI!$O$10=1)*AND(MODULO!$D$61&gt;2100),1,IF(OR($O$8=1,$I$3=1,$O$19=1)*AND(MODULO!$D$61&gt;2800),1,IF(OR($I$12=1,$I$14=1,$I$18=1)*AND(MODULO!$D$61&gt;3000),1,IF(AND($O$22=1,MODULO!$D$61&gt;2500),1,0))))</f>
        <v>0</v>
      </c>
      <c r="Y9">
        <v>61</v>
      </c>
      <c r="Z9">
        <f>IF(OR(MODULO!$AN$54="FREE FLAP MINI",MODULO!$AN$54="FREE FLAP FORTE",MODULO!$AN$54="FREE SWING",MODULO!$AN$54="FREE SLIDE",MODULO!$AN$54="FREE SPACE"),1,0)</f>
        <v>0</v>
      </c>
      <c r="AA9" s="40" t="s">
        <v>73</v>
      </c>
      <c r="AB9" s="63"/>
      <c r="AC9" s="163" t="s">
        <v>260</v>
      </c>
      <c r="AD9" s="63"/>
      <c r="AE9" s="63"/>
      <c r="AF9" s="63"/>
      <c r="AG9" s="163" t="s">
        <v>177</v>
      </c>
      <c r="AH9" s="163" t="s">
        <v>177</v>
      </c>
      <c r="AI9" s="63"/>
    </row>
    <row r="10" spans="1:38" ht="23.1" hidden="1" customHeight="1">
      <c r="A10" s="49">
        <f>IF(AND($I$25&gt;0,I10&gt;0),10+18.02,IF(AND($I$25=0,I10&gt;0),18.02,0))</f>
        <v>0</v>
      </c>
      <c r="B10" s="54" t="str">
        <f>IF(I10&gt;0,SUM(MODULO!$D$49+MODULO!$M$49)*2/1000*G10,"")</f>
        <v/>
      </c>
      <c r="C10" s="54" t="str">
        <f>IF(I10&gt;0,SUM(MODULO!$D$53+MODULO!$M$53)*2/1000*G10,"")</f>
        <v/>
      </c>
      <c r="D10" s="54" t="str">
        <f>IF(I10&gt;0,SUM(MODULO!$D$57+MODULO!$M$57)*2/1000*G10,"")</f>
        <v/>
      </c>
      <c r="E10" s="54" t="str">
        <f>IF(I10&gt;0,SUM(MODULO!$D$61+MODULO!$M$61)*2/1000*G10,"")</f>
        <v/>
      </c>
      <c r="F10" s="54" t="str">
        <f>IF(I10&gt;0,SUM(MODULO!$D$65+MODULO!$M$65)*2/1000*G10,"")</f>
        <v/>
      </c>
      <c r="G10" s="57">
        <v>13.18</v>
      </c>
      <c r="H10" s="764">
        <f>SUM(I10:I23)</f>
        <v>0</v>
      </c>
      <c r="I10" s="282">
        <f t="shared" si="3"/>
        <v>0</v>
      </c>
      <c r="J10" s="15" t="str">
        <f>IF(AND(MODULO!$M$26="art. 1933",MODULO!$M$29="alluminio anodizzato"),"VERO","FALSO")</f>
        <v>FALSO</v>
      </c>
      <c r="K10" s="18" t="s">
        <v>39</v>
      </c>
      <c r="L10">
        <f t="shared" si="2"/>
        <v>0</v>
      </c>
      <c r="M10" s="16" t="b">
        <f>IF(MODULO!$M$38="SATINATO","VERO",FALSE)</f>
        <v>0</v>
      </c>
      <c r="N10" s="17" t="s">
        <v>19</v>
      </c>
      <c r="O10" s="741">
        <f>SUM(I10:I11)</f>
        <v>0</v>
      </c>
      <c r="P10" s="47">
        <v>98.34</v>
      </c>
      <c r="S10" s="54" t="str">
        <f>IF(L10&gt;0,SUM(MODULO!$D$49*MODULO!$M$49)/1000000*P10,"")</f>
        <v/>
      </c>
      <c r="T10" s="54" t="str">
        <f>IF(L10&gt;0,SUM(MODULO!$D$53*MODULO!$M$53)/1000000*P10,"")</f>
        <v/>
      </c>
      <c r="U10" s="54" t="str">
        <f>IF(L10&gt;0,SUM(MODULO!$D$57*MODULO!$M$57)/1000000*P10,"")</f>
        <v/>
      </c>
      <c r="V10" s="54" t="str">
        <f>IF(L10&gt;0,SUM(MODULO!$D$61*MODULO!$M$61)/1000000*P10,"")</f>
        <v/>
      </c>
      <c r="W10" s="306" t="str">
        <f>IF(L10&gt;0,SUM(MODULO!$D$65*MODULO!$M$65)/1000000*P10,"")</f>
        <v/>
      </c>
      <c r="X10" s="307">
        <f>IF(OR(DATI!$O$6=1,DATI!$O$10=1)*AND(MODULO!$D$65&gt;2100),1,IF(OR($O$8=1,$I$3=1,$O$19=1)*AND(MODULO!$D$65&gt;2800),1,IF(OR($I$12=1,$I$14=1,$I$18=1)*AND(MODULO!$D$65&gt;3000),1,IF(AND($O$22=1,MODULO!$D$65&gt;2500),1,0))))</f>
        <v>0</v>
      </c>
      <c r="Y10">
        <v>65</v>
      </c>
      <c r="Z10">
        <f>IF(OR(MODULO!$AN$58="FREE FLAP MINI",MODULO!$AN$58="FREE FLAP FORTE",MODULO!$AN$58="FREE SWING",MODULO!$AN$58="FREE SLIDE",MODULO!$AN$58="FREE SPACE"),1,0)</f>
        <v>0</v>
      </c>
      <c r="AA10" s="40" t="s">
        <v>182</v>
      </c>
      <c r="AG10" s="163" t="s">
        <v>230</v>
      </c>
      <c r="AH10" s="163" t="s">
        <v>230</v>
      </c>
    </row>
    <row r="11" spans="1:38" ht="23.1" hidden="1" customHeight="1" thickBot="1">
      <c r="A11" s="300">
        <f>IF(AND($I$25&gt;0,I11&gt;0),10+18.02,IF(AND($I$25=0,I11&gt;0),18.02,0))</f>
        <v>0</v>
      </c>
      <c r="B11" s="301" t="str">
        <f>IF(I11&gt;0,SUM(MODULO!$D$49+MODULO!$M$49)*2/1000*G11,"")</f>
        <v/>
      </c>
      <c r="C11" s="301" t="str">
        <f>IF(I11&gt;0,SUM(MODULO!$D$53+MODULO!$M$53)*2/1000*G11,"")</f>
        <v/>
      </c>
      <c r="D11" s="301" t="str">
        <f>IF(I11&gt;0,SUM(MODULO!$D$57+MODULO!$M$57)*2/1000*G11,"")</f>
        <v/>
      </c>
      <c r="E11" s="301" t="str">
        <f>IF(I11&gt;0,SUM(MODULO!$D$61+MODULO!$M$61)*2/1000*G11,"")</f>
        <v/>
      </c>
      <c r="F11" s="301" t="str">
        <f>IF(I11&gt;0,SUM(MODULO!$D$65+MODULO!$M$65)*2/1000*G11,"")</f>
        <v/>
      </c>
      <c r="G11" s="57">
        <v>19.84</v>
      </c>
      <c r="H11" s="765"/>
      <c r="I11" s="283">
        <f t="shared" si="3"/>
        <v>0</v>
      </c>
      <c r="J11" s="15" t="str">
        <f>IF(AND(MODULO!$M$26="art. 1933",OR(MODULO!$M$29="bianco primer",MODULO!$M$29="metal grey")),"VERO","FALSO")</f>
        <v>FALSO</v>
      </c>
      <c r="K11" s="18" t="s">
        <v>251</v>
      </c>
      <c r="L11">
        <f t="shared" si="2"/>
        <v>0</v>
      </c>
      <c r="M11" s="16" t="b">
        <f>IF(MODULO!$M$38="SATINATO EXTRACHIARO","VERO",FALSE)</f>
        <v>0</v>
      </c>
      <c r="N11" s="17" t="s">
        <v>25</v>
      </c>
      <c r="O11" s="742"/>
      <c r="P11" s="47">
        <v>120.26</v>
      </c>
      <c r="S11" s="54" t="str">
        <f>IF(L11&gt;0,SUM(MODULO!$D$49*MODULO!$M$49)/1000000*P11,"")</f>
        <v/>
      </c>
      <c r="T11" s="54" t="str">
        <f>IF(L11&gt;0,SUM(MODULO!$D$53*MODULO!$M$53)/1000000*P11,"")</f>
        <v/>
      </c>
      <c r="U11" s="54" t="str">
        <f>IF(L11&gt;0,SUM(MODULO!$D$57*MODULO!$M$57)/1000000*P11,"")</f>
        <v/>
      </c>
      <c r="V11" s="54" t="str">
        <f>IF(L11&gt;0,SUM(MODULO!$D$61*MODULO!$M$61)/1000000*P11,"")</f>
        <v/>
      </c>
      <c r="W11" s="54" t="str">
        <f>IF(L11&gt;0,SUM(MODULO!$D$65*MODULO!$M$65)/1000000*P11,"")</f>
        <v/>
      </c>
      <c r="X11" s="120"/>
      <c r="AA11" s="40" t="s">
        <v>269</v>
      </c>
    </row>
    <row r="12" spans="1:38" ht="23.1" hidden="1" customHeight="1">
      <c r="A12" s="292">
        <f t="shared" ref="A12:A16" si="4">IF(AND($I$25&gt;0,I12&gt;0),10+18.62,IF(AND($I$25=0,I12&gt;0),18.62,0))</f>
        <v>0</v>
      </c>
      <c r="B12" s="293" t="str">
        <f>IF(AND(MODULO!$B$49&gt;0,$I12&gt;0,MODULO!$AW$35=""),SUM(MODULO!$D$49+MODULO!$M$49)*2/1000*$G12,"")</f>
        <v/>
      </c>
      <c r="C12" s="293" t="str">
        <f>IF(AND(MODULO!$B$53&gt;0,$I12&gt;0,MODULO!$BJ$35=""),SUM(MODULO!$D$53+MODULO!$M$53)*2/1000*$G12,"")</f>
        <v/>
      </c>
      <c r="D12" s="293" t="str">
        <f>IF(AND(MODULO!$B$57&gt;0,$I12&gt;0,MODULO!$BW$35=""),SUM(MODULO!$D$57+MODULO!$M$57)*2/1000*$G12,"")</f>
        <v/>
      </c>
      <c r="E12" s="293" t="str">
        <f>IF(AND(MODULO!$B$61&gt;0,$I12&gt;0,MODULO!$AW$71=""),SUM(MODULO!$D$61+MODULO!$M$61)*2/1000*$G12,"")</f>
        <v/>
      </c>
      <c r="F12" s="293" t="str">
        <f>IF(AND(MODULO!$B$65&gt;0,$I12&gt;0,MODULO!$BJ$71=""),SUM(MODULO!$D$65+MODULO!$M$65)*2/1000*$G12,"")</f>
        <v/>
      </c>
      <c r="G12" s="294">
        <v>21.67</v>
      </c>
      <c r="H12" s="587"/>
      <c r="I12" s="28">
        <f t="shared" si="3"/>
        <v>0</v>
      </c>
      <c r="J12" s="15" t="str">
        <f>IF(AND(MODULO!$M$26="art. AX24",MODULO!$M$29="metal grey"),"VERO","FALSO")</f>
        <v>FALSO</v>
      </c>
      <c r="K12" s="273" t="s">
        <v>275</v>
      </c>
      <c r="L12">
        <f t="shared" si="2"/>
        <v>0</v>
      </c>
      <c r="M12" s="16" t="b">
        <f>IF(MODULO!$M$38="SATINATO EXTRACHIARO LACCATO RAL","VERO",FALSE)</f>
        <v>0</v>
      </c>
      <c r="N12" s="17" t="s">
        <v>26</v>
      </c>
      <c r="O12" s="743">
        <f>SUM(I12+I14+I18)</f>
        <v>0</v>
      </c>
      <c r="P12" s="47">
        <v>150.69</v>
      </c>
      <c r="Q12" t="s">
        <v>347</v>
      </c>
      <c r="S12" s="54" t="str">
        <f>IF(L12&gt;0,SUM(MODULO!$D$49*MODULO!$M$49)/1000000*P12,"")</f>
        <v/>
      </c>
      <c r="T12" s="54" t="str">
        <f>IF(L12&gt;0,SUM(MODULO!$D$53*MODULO!$M$53)/1000000*P12,"")</f>
        <v/>
      </c>
      <c r="U12" s="54" t="str">
        <f>IF(L12&gt;0,SUM(MODULO!$D$57*MODULO!$M$57)/1000000*P12,"")</f>
        <v/>
      </c>
      <c r="V12" s="54" t="str">
        <f>IF(L12&gt;0,SUM(MODULO!$D$61*MODULO!$M$61)/1000000*P12,"")</f>
        <v/>
      </c>
      <c r="W12" s="54" t="str">
        <f>IF(L12&gt;0,SUM(MODULO!$D$65*MODULO!$M$65)/1000000*P12,"")</f>
        <v/>
      </c>
      <c r="AA12" s="40" t="s">
        <v>184</v>
      </c>
    </row>
    <row r="13" spans="1:38" ht="23.1" hidden="1" customHeight="1" thickBot="1">
      <c r="A13" s="297"/>
      <c r="B13" s="309" t="str">
        <f>IF(AND(MODULO!$B$49&gt;0,$I13&gt;0,MODULO!$AW$35="SI",MODULO!$AZ$23&lt;&gt;""),SUM((MODULO!$M$49*2)+MODULO!$D$49)/1000*$G12+((MODULO!$D$49/1000)*$G13),IF(OR(MODULO!$AX$4&lt;&gt;"",MODULO!$AX$33&lt;&gt;"")*AND(MODULO!$B$49&gt;0,$I13&gt;0,MODULO!$AW$35="SI"),SUM((MODULO!$D$49*2)+MODULO!$M$49)/1000*$G12+((MODULO!$M$49/1000)*$G13),IF(AND(MODULO!$B$49&gt;0,$I13&gt;0,MODULO!$AW$35="SI"),SUM((MODULO!$M$49*2)+MODULO!$D$49)/1000*$G12+((MODULO!$D$49/1000)*$G13),"")))</f>
        <v/>
      </c>
      <c r="C13" s="309" t="str">
        <f>IF(AND(MODULO!$B$53&gt;0,$I13&gt;0,MODULO!$BJ$35="SI",MODULO!$BM$23&lt;&gt;""),SUM((MODULO!$M$53*2)+MODULO!$D$53)/1000*$G12+((MODULO!$D$53/1000)*$G13),IF(OR(MODULO!$BK$4&lt;&gt;"",MODULO!$BK$33&lt;&gt;"")*AND(MODULO!$B$53&gt;0,$I13&gt;0,MODULO!$BJ$35="SI"),SUM((MODULO!$D$53*2)+MODULO!$M$53)/1000*$G12+((MODULO!$M$53/1000)*$G13),IF(AND(MODULO!$B$53&gt;0,$I13&gt;0,MODULO!$BJ$35="SI"),SUM((MODULO!$M$53*2)+MODULO!$D$53)/1000*$G12+((MODULO!$D$53/1000)*$G13),"")))</f>
        <v/>
      </c>
      <c r="D13" s="309" t="str">
        <f>IF(AND(MODULO!$B$57&gt;0,$I13&gt;0,MODULO!$BW$35="SI",MODULO!$BZ$23&lt;&gt;""),SUM((MODULO!$M$57*2)+MODULO!$D$57)/1000*$G12+((MODULO!$D$57/1000)*$G13),IF(OR(MODULO!$BX$4&lt;&gt;"",MODULO!$BX$33&lt;&gt;"")*AND(MODULO!$B$57&gt;0,$I13&gt;0,MODULO!$BW$35="SI"),SUM((MODULO!$D$57*2)+MODULO!$M$57)/1000*$G12+((MODULO!$M$57/1000)*$G13),IF(AND(MODULO!$B$57&gt;0,$I13&gt;0,MODULO!$BW$35="SI"),SUM((MODULO!$M$57*2)+MODULO!$D$57)/1000*$G12+((MODULO!$D$57/1000)*$G13),"")))</f>
        <v/>
      </c>
      <c r="E13" s="309" t="str">
        <f>IF(AND(MODULO!$B$61&gt;0,$I13&gt;0,MODULO!$AW$71="SI",MODULO!$AZ$23&lt;&gt;""),SUM((MODULO!$M$61*2)+MODULO!$D$61)/1000*$G12+((MODULO!$D$61/1000)*$G13),IF(OR(MODULO!$AX$4&lt;&gt;"",MODULO!$AX$33&lt;&gt;"")*AND(MODULO!$B$61&gt;0,$I13&gt;0,MODULO!$AW$71="SI"),SUM((MODULO!$D$61*2)+MODULO!$M$61)/1000*$G12+((MODULO!$M$61/1000)*$G13),IF(AND(MODULO!$B$61&gt;0,$I13&gt;0,MODULO!$AW$71="SI"),SUM((MODULO!$M$61*2)+MODULO!$D$61)/1000*$G12+((MODULO!$D$61/1000)*$G13),"")))</f>
        <v/>
      </c>
      <c r="F13" s="309" t="str">
        <f>IF(AND(MODULO!$B$65&gt;0,$I13&gt;0,MODULO!$BJ$71="SI",MODULO!$AZ$23&lt;&gt;""),SUM((MODULO!$M$65*2)+MODULO!$D$65)/1000*$G12+((MODULO!$D$65/1000)*$G13),IF(OR(MODULO!$AX$4&lt;&gt;"",MODULO!$AX$33&lt;&gt;"")*AND(MODULO!$B$65&gt;0,$I13&gt;0,MODULO!$BJ$71="SI"),SUM((MODULO!$D$65*2)+MODULO!$M$65)/1000*$G12+((MODULO!$M$65/1000)*$G13),IF(AND(MODULO!$B$65&gt;0,$I13&gt;0,MODULO!$BJ$71="SI"),SUM((MODULO!$M$65*2)+MODULO!$D$65)/1000*$G12+((MODULO!$D$65/1000)*$G13),"")))</f>
        <v/>
      </c>
      <c r="G13" s="299">
        <v>26.21</v>
      </c>
      <c r="H13" s="587"/>
      <c r="I13" s="28">
        <f t="shared" si="3"/>
        <v>0</v>
      </c>
      <c r="J13" s="15" t="str">
        <f>IF(OR(MODULO!$AW$35="SI",MODULO!$BJ$35="SI",MODULO!$BW$35="SI",MODULO!$AW$71="SI",MODULO!$BJ$71="SI")*AND(MODULO!$M$26="art. AX24",MODULO!$M$29="metal grey"),"VERO","FALSO")</f>
        <v>FALSO</v>
      </c>
      <c r="K13" s="273" t="s">
        <v>345</v>
      </c>
      <c r="L13">
        <f t="shared" si="2"/>
        <v>0</v>
      </c>
      <c r="M13" s="16" t="b">
        <f>IF(MODULO!$M$38="FUME'","VERO",FALSE)</f>
        <v>0</v>
      </c>
      <c r="N13" s="17" t="s">
        <v>27</v>
      </c>
      <c r="O13" s="744"/>
      <c r="P13" s="47">
        <v>51.91</v>
      </c>
      <c r="S13" s="54" t="str">
        <f>IF(L13&gt;0,SUM(MODULO!$D$49*MODULO!$M$49)/1000000*P13,"")</f>
        <v/>
      </c>
      <c r="T13" s="54" t="str">
        <f>IF(L13&gt;0,SUM(MODULO!$D$53*MODULO!$M$53)/1000000*P13,"")</f>
        <v/>
      </c>
      <c r="U13" s="54" t="str">
        <f>IF(L13&gt;0,SUM(MODULO!$D$57*MODULO!$M$57)/1000000*P13,"")</f>
        <v/>
      </c>
      <c r="V13" s="54" t="str">
        <f>IF(L13&gt;0,SUM(MODULO!$D$61*MODULO!$M$61)/1000000*P13,"")</f>
        <v/>
      </c>
      <c r="W13" s="54" t="str">
        <f>IF(L13&gt;0,SUM(MODULO!$D$65*MODULO!$M$65)/1000000*P13,"")</f>
        <v/>
      </c>
      <c r="AA13" s="40" t="s">
        <v>185</v>
      </c>
    </row>
    <row r="14" spans="1:38" ht="23.1" hidden="1" customHeight="1">
      <c r="A14" s="290">
        <f t="shared" si="4"/>
        <v>0</v>
      </c>
      <c r="B14" s="293" t="str">
        <f>IF(AND(MODULO!$B$49&gt;0,$I14&gt;0,MODULO!$AW$35=""),SUM(MODULO!$D$49+MODULO!$M$49)*2/1000*$G14,"")</f>
        <v/>
      </c>
      <c r="C14" s="293" t="str">
        <f>IF(AND(MODULO!$B$53&gt;0,$I14&gt;0,MODULO!$BJ$35=""),SUM(MODULO!$D$53+MODULO!$M$53)*2/1000*$G14,"")</f>
        <v/>
      </c>
      <c r="D14" s="293" t="str">
        <f>IF(AND(MODULO!$B$57&gt;0,$I14&gt;0,MODULO!$BW$35=""),SUM(MODULO!$D$57+MODULO!$M$57)*2/1000*$G14,"")</f>
        <v/>
      </c>
      <c r="E14" s="293" t="str">
        <f>IF(AND(MODULO!$B$61&gt;0,$I14&gt;0,MODULO!$AW$71=""),SUM(MODULO!$D$61+MODULO!$M$61)*2/1000*$G14,"")</f>
        <v/>
      </c>
      <c r="F14" s="293" t="str">
        <f>IF(AND(MODULO!$B$65&gt;0,$I14&gt;0,MODULO!$BJ$71=""),SUM(MODULO!$D$65+MODULO!$M$65)*2/1000*$G14,"")</f>
        <v/>
      </c>
      <c r="G14" s="294">
        <v>27.51</v>
      </c>
      <c r="H14" s="763"/>
      <c r="I14" s="28">
        <f t="shared" si="3"/>
        <v>0</v>
      </c>
      <c r="J14" s="15" t="str">
        <f>IF(AND(MODULO!$M$26="art. AX24",MODULO!$M$29="PEARL BEIGE"),"VERO","FALSO")</f>
        <v>FALSO</v>
      </c>
      <c r="K14" s="273" t="s">
        <v>278</v>
      </c>
      <c r="L14">
        <f t="shared" ref="L14:L23" si="5">IF(M14="VERO",1,0)</f>
        <v>0</v>
      </c>
      <c r="M14" s="16" t="b">
        <f>IF(MODULO!$M$38="BRONZO","VERO",FALSE)</f>
        <v>0</v>
      </c>
      <c r="N14" s="17" t="s">
        <v>28</v>
      </c>
      <c r="O14" s="744"/>
      <c r="P14" s="47">
        <v>51.91</v>
      </c>
      <c r="S14" s="54" t="str">
        <f>IF(L14&gt;0,SUM(MODULO!$D$49*MODULO!$M$49)/1000000*P14,"")</f>
        <v/>
      </c>
      <c r="T14" s="54" t="str">
        <f>IF(L14&gt;0,SUM(MODULO!$D$53*MODULO!$M$53)/1000000*P14,"")</f>
        <v/>
      </c>
      <c r="U14" s="54" t="str">
        <f>IF(L14&gt;0,SUM(MODULO!$D$57*MODULO!$M$57)/1000000*P14,"")</f>
        <v/>
      </c>
      <c r="V14" s="54" t="str">
        <f>IF(L14&gt;0,SUM(MODULO!$D$61*MODULO!$M$61)/1000000*P14,"")</f>
        <v/>
      </c>
      <c r="W14" s="54" t="str">
        <f>IF(L14&gt;0,SUM(MODULO!$D$65*MODULO!$M$65)/1000000*P14,"")</f>
        <v/>
      </c>
      <c r="AA14" s="40" t="s">
        <v>186</v>
      </c>
    </row>
    <row r="15" spans="1:38" ht="23.1" hidden="1" customHeight="1" thickBot="1">
      <c r="A15" s="49"/>
      <c r="B15" s="309" t="str">
        <f>IF(AND(MODULO!$B$49&gt;0,$I15&gt;0,MODULO!$AW$35="SI",MODULO!$AZ$23&lt;&gt;""),SUM((MODULO!$M$49*2)+MODULO!$D$49)/1000*$G14+((MODULO!$D$49/1000)*$G15),IF(OR(MODULO!$AX$4&lt;&gt;"",MODULO!$AX$33&lt;&gt;"")*AND(MODULO!$B$49&gt;0,$I15&gt;0,MODULO!$AW$35="SI"),SUM((MODULO!$D$49*2)+MODULO!$M$49)/1000*$G14+((MODULO!$M$49/1000)*$G15),IF(AND(MODULO!$B$49&gt;0,$I15&gt;0,MODULO!$AW$35="SI"),SUM((MODULO!$M$49*2)+MODULO!$D$49)/1000*$G14+((MODULO!$D$49/1000)*$G15),"")))</f>
        <v/>
      </c>
      <c r="C15" s="309" t="str">
        <f>IF(AND(MODULO!$B$53&gt;0,$I15&gt;0,MODULO!$BJ$35="SI",MODULO!$BM$23&lt;&gt;""),SUM((MODULO!$M$53*2)+MODULO!$D$53)/1000*$G14+((MODULO!$D$53/1000)*$G15),IF(OR(MODULO!$BK$4&lt;&gt;"",MODULO!$BK$33&lt;&gt;"")*AND(MODULO!$B$53&gt;0,$I15&gt;0,MODULO!$BJ$35="SI"),SUM((MODULO!$D$53*2)+MODULO!$M$53)/1000*$G14+((MODULO!$M$53/1000)*$G15),IF(AND(MODULO!$B$53&gt;0,$I15&gt;0,MODULO!$BJ$35="SI"),SUM((MODULO!$M$53*2)+MODULO!$D$53)/1000*$G14+((MODULO!$D$53/1000)*$G15),"")))</f>
        <v/>
      </c>
      <c r="D15" s="309" t="str">
        <f>IF(AND(MODULO!$B$57&gt;0,$I15&gt;0,MODULO!$BW$35="SI",MODULO!$BZ$23&lt;&gt;""),SUM((MODULO!$M$57*2)+MODULO!$D$57)/1000*$G14+((MODULO!$D$57/1000)*$G15),IF(OR(MODULO!$BX$4&lt;&gt;"",MODULO!$BX$33&lt;&gt;"")*AND(MODULO!$B$57&gt;0,$I15&gt;0,MODULO!$BW$35="SI"),SUM((MODULO!$D$57*2)+MODULO!$M$57)/1000*$G14+((MODULO!$M$57/1000)*$G15),IF(AND(MODULO!$B$57&gt;0,$I15&gt;0,MODULO!$BW$35="SI"),SUM((MODULO!$M$57*2)+MODULO!$D$57)/1000*$G14+((MODULO!$D$57/1000)*$G15),"")))</f>
        <v/>
      </c>
      <c r="E15" s="309" t="str">
        <f>IF(AND(MODULO!$B$61&gt;0,$I15&gt;0,MODULO!$AW$71="SI",MODULO!$AZ$23&lt;&gt;""),SUM((MODULO!$M$61*2)+MODULO!$D$61)/1000*$G14+((MODULO!$D$61/1000)*$G15),IF(OR(MODULO!$AX$4&lt;&gt;"",MODULO!$AX$33&lt;&gt;"")*AND(MODULO!$B$61&gt;0,$I15&gt;0,MODULO!$AW$71="SI"),SUM((MODULO!$D$61*2)+MODULO!$M$61)/1000*$G14+((MODULO!$M$61/1000)*$G15),IF(AND(MODULO!$B$61&gt;0,$I15&gt;0,MODULO!$AW$71="SI"),SUM((MODULO!$M$61*2)+MODULO!$D$61)/1000*$G14+((MODULO!$D$61/1000)*$G15),"")))</f>
        <v/>
      </c>
      <c r="F15" s="309" t="str">
        <f>IF(AND(MODULO!$B$65&gt;0,$I15&gt;0,MODULO!$BJ$71="SI",MODULO!$AZ$23&lt;&gt;""),SUM((MODULO!$M$65*2)+MODULO!$D$65)/1000*$G14+((MODULO!$D$65/1000)*$G15),IF(OR(MODULO!$AX$4&lt;&gt;"",MODULO!$AX$33&lt;&gt;"")*AND(MODULO!$B$65&gt;0,$I15&gt;0,MODULO!$BJ$71="SI"),SUM((MODULO!$D$65*2)+MODULO!$M$65)/1000*$G14+((MODULO!$M$65/1000)*$G15),IF(AND(MODULO!$B$65&gt;0,$I15&gt;0,MODULO!$BJ$71="SI"),SUM((MODULO!$M$65*2)+MODULO!$D$65)/1000*$G14+((MODULO!$D$65/1000)*$G15),"")))</f>
        <v/>
      </c>
      <c r="G15" s="299">
        <v>31.98</v>
      </c>
      <c r="H15" s="763"/>
      <c r="I15" s="28">
        <f t="shared" si="3"/>
        <v>0</v>
      </c>
      <c r="J15" s="15" t="str">
        <f>IF(OR(MODULO!$AW$35="SI",MODULO!$BJ$35="SI",MODULO!$BW$35="SI",MODULO!$AW$71="SI",MODULO!$BJ$71="SI")*AND(MODULO!$M$26="art. AX24",MODULO!$M$29="PEARL BEIGE"),"VERO","FALSO")</f>
        <v>FALSO</v>
      </c>
      <c r="K15" s="273" t="s">
        <v>346</v>
      </c>
      <c r="L15">
        <f t="shared" si="5"/>
        <v>0</v>
      </c>
      <c r="M15" s="16" t="b">
        <f>IF(MODULO!$M$38="STOPSOL FUME'","VERO",FALSE)</f>
        <v>0</v>
      </c>
      <c r="N15" s="17" t="s">
        <v>32</v>
      </c>
      <c r="O15" s="744"/>
      <c r="P15" s="47">
        <v>95.17</v>
      </c>
      <c r="S15" s="54" t="str">
        <f>IF(L15&gt;0,SUM(MODULO!$D$49*MODULO!$M$49)/1000000*P15,"")</f>
        <v/>
      </c>
      <c r="T15" s="54" t="str">
        <f>IF(L15&gt;0,SUM(MODULO!$D$53*MODULO!$M$53)/1000000*P15,"")</f>
        <v/>
      </c>
      <c r="U15" s="54" t="str">
        <f>IF(L15&gt;0,SUM(MODULO!$D$57*MODULO!$M$57)/1000000*P15,"")</f>
        <v/>
      </c>
      <c r="V15" s="54" t="str">
        <f>IF(L15&gt;0,SUM(MODULO!$D$61*MODULO!$M$61)/1000000*P15,"")</f>
        <v/>
      </c>
      <c r="W15" s="54" t="str">
        <f>IF(L15&gt;0,SUM(MODULO!$D$65*MODULO!$M$65)/1000000*P15,"")</f>
        <v/>
      </c>
      <c r="AA15" s="40" t="s">
        <v>202</v>
      </c>
    </row>
    <row r="16" spans="1:38" ht="23.1" hidden="1" customHeight="1">
      <c r="A16" s="49">
        <f t="shared" si="4"/>
        <v>0</v>
      </c>
      <c r="B16" s="54" t="str">
        <f>IF(I16&gt;0,SUM(MODULO!$D$49+MODULO!$M$49)*2/1000*G16,"")</f>
        <v/>
      </c>
      <c r="C16" s="54" t="str">
        <f>IF(I16&gt;0,SUM(MODULO!$D$53+MODULO!$M$53)*2/1000*G16,"")</f>
        <v/>
      </c>
      <c r="D16" s="54" t="str">
        <f>IF(I16&gt;0,SUM(MODULO!$D$57+MODULO!$M$57)*2/1000*G16,"")</f>
        <v/>
      </c>
      <c r="E16" s="54" t="str">
        <f>IF(I16&gt;0,SUM(MODULO!$D$61+MODULO!$M$61)*2/1000*G16,"")</f>
        <v/>
      </c>
      <c r="F16" s="54" t="str">
        <f>IF(I16&gt;0,SUM(MODULO!$D$65+MODULO!$M$65)*2/1000*G16,"")</f>
        <v/>
      </c>
      <c r="G16" s="271">
        <v>18.73</v>
      </c>
      <c r="H16" s="763"/>
      <c r="I16" s="28">
        <f t="shared" si="3"/>
        <v>0</v>
      </c>
      <c r="J16" s="15" t="str">
        <f>IF(AND(MODULO!$M$26="art. 4004",MODULO!$M$29="alluminio anodizzato"),"VERO","FALSO")</f>
        <v>FALSO</v>
      </c>
      <c r="K16" s="272" t="s">
        <v>40</v>
      </c>
      <c r="L16">
        <f t="shared" si="5"/>
        <v>0</v>
      </c>
      <c r="M16" s="16" t="b">
        <f>IF(MODULO!$M$38="STOPSOL BRONZO","VERO",FALSE)</f>
        <v>0</v>
      </c>
      <c r="N16" s="17" t="s">
        <v>29</v>
      </c>
      <c r="O16" s="744"/>
      <c r="P16" s="47">
        <v>95.17</v>
      </c>
      <c r="S16" s="54" t="str">
        <f>IF(L16&gt;0,SUM(MODULO!$D$49*MODULO!$M$49)/1000000*P16,"")</f>
        <v/>
      </c>
      <c r="T16" s="54" t="str">
        <f>IF(L16&gt;0,SUM(MODULO!$D$53*MODULO!$M$53)/1000000*P16,"")</f>
        <v/>
      </c>
      <c r="U16" s="54" t="str">
        <f>IF(L16&gt;0,SUM(MODULO!$D$57*MODULO!$M$57)/1000000*P16,"")</f>
        <v/>
      </c>
      <c r="V16" s="54" t="str">
        <f>IF(L16&gt;0,SUM(MODULO!$D$61*MODULO!$M$61)/1000000*P16,"")</f>
        <v/>
      </c>
      <c r="W16" s="54" t="str">
        <f>IF(L16&gt;0,SUM(MODULO!$D$65*MODULO!$M$65)/1000000*P16,"")</f>
        <v/>
      </c>
      <c r="AA16" s="40" t="s">
        <v>265</v>
      </c>
    </row>
    <row r="17" spans="1:38" ht="23.1" hidden="1" customHeight="1">
      <c r="A17" s="49"/>
      <c r="B17" s="54" t="str">
        <f>IF(I17&gt;0,SUM(MODULO!$D$49+MODULO!$M$49)*2/1000*G17,"")</f>
        <v/>
      </c>
      <c r="C17" s="54" t="str">
        <f>IF(I17&gt;0,SUM(MODULO!$D$53+MODULO!$M$53)*2/1000*G17,"")</f>
        <v/>
      </c>
      <c r="D17" s="54" t="str">
        <f>IF(I17&gt;0,SUM(MODULO!$D$57+MODULO!$M$57)*2/1000*G17,"")</f>
        <v/>
      </c>
      <c r="E17" s="54" t="str">
        <f>IF(I17&gt;0,SUM(MODULO!$D$61+MODULO!$M$61)*2/1000*G17,"")</f>
        <v/>
      </c>
      <c r="F17" s="54" t="str">
        <f>IF(I17&gt;0,SUM(MODULO!$D$65+MODULO!$M$65)*2/1000*G17,"")</f>
        <v/>
      </c>
      <c r="G17" s="57"/>
      <c r="H17" s="763"/>
      <c r="I17" s="28"/>
      <c r="J17" s="15"/>
      <c r="K17" s="285"/>
      <c r="L17">
        <f t="shared" si="5"/>
        <v>0</v>
      </c>
      <c r="M17" s="16" t="b">
        <f>IF(MODULO!$M$38="SPECCHIO","VERO",FALSE)</f>
        <v>0</v>
      </c>
      <c r="N17" s="17" t="s">
        <v>21</v>
      </c>
      <c r="O17" s="744"/>
      <c r="P17" s="48">
        <v>59.84</v>
      </c>
      <c r="Q17" s="738" t="s">
        <v>146</v>
      </c>
      <c r="R17" s="739"/>
      <c r="S17" s="54" t="str">
        <f>IF(L17&gt;0,SUM(MODULO!$D$49*MODULO!$M$49)/1000000*P17,"")</f>
        <v/>
      </c>
      <c r="T17" s="54" t="str">
        <f>IF(L17&gt;0,SUM(MODULO!$D$53*MODULO!$M$53)/1000000*P17,"")</f>
        <v/>
      </c>
      <c r="U17" s="54" t="str">
        <f>IF(L17&gt;0,SUM(MODULO!$D$57*MODULO!$M$57)/1000000*P17,"")</f>
        <v/>
      </c>
      <c r="V17" s="54" t="str">
        <f>IF(L17&gt;0,SUM(MODULO!$D$61*MODULO!$M$61)/1000000*P17,"")</f>
        <v/>
      </c>
      <c r="W17" s="54" t="str">
        <f>IF(L17&gt;0,SUM(MODULO!$D$65*MODULO!$M$65)/1000000*P17,"")</f>
        <v/>
      </c>
      <c r="AA17" s="40"/>
    </row>
    <row r="18" spans="1:38" ht="23.1" hidden="1" customHeight="1" thickBot="1">
      <c r="A18" s="49">
        <f t="shared" ref="A18:A23" si="6">IF(AND($I$25&gt;0,I18&gt;0),10+18.62,IF(AND($I$25=0,I18&gt;0),18.62,0))</f>
        <v>0</v>
      </c>
      <c r="B18" s="54" t="str">
        <f>IF(I18&gt;0,SUM(MODULO!$D$49+MODULO!$M$49)*2/1000*G18,"")</f>
        <v/>
      </c>
      <c r="C18" s="54" t="str">
        <f>IF(I18&gt;0,SUM(MODULO!$D$53+MODULO!$M$53)*2/1000*G18,"")</f>
        <v/>
      </c>
      <c r="D18" s="54" t="str">
        <f>IF(I18&gt;0,SUM(MODULO!$D$57+MODULO!$M$57)*2/1000*G18,"")</f>
        <v/>
      </c>
      <c r="E18" s="54" t="str">
        <f>IF(I18&gt;0,SUM(MODULO!$D$61+MODULO!$M$61)*2/1000*G18,"")</f>
        <v/>
      </c>
      <c r="F18" s="54" t="str">
        <f>IF(I18&gt;0,SUM(MODULO!$D$65+MODULO!$M$65)*2/1000*G18,"")</f>
        <v/>
      </c>
      <c r="G18" s="271">
        <v>17.53</v>
      </c>
      <c r="H18" s="763"/>
      <c r="I18" s="28">
        <f t="shared" ref="I18" si="7">IF(J18="VERO",1,0)</f>
        <v>0</v>
      </c>
      <c r="J18" s="15" t="str">
        <f>IF(AND(MODULO!$M$26="art. 1934",OR(MODULO!$M$29="alluminio anodizzato",MODULO!$M$29="METAL GREY")),"VERO","FALSO")</f>
        <v>FALSO</v>
      </c>
      <c r="K18" s="272" t="s">
        <v>349</v>
      </c>
      <c r="L18">
        <f t="shared" si="5"/>
        <v>0</v>
      </c>
      <c r="M18" s="16" t="b">
        <f>IF(MODULO!$M$38="SPECCHIO FUME'","VERO",FALSE)</f>
        <v>0</v>
      </c>
      <c r="N18" s="17" t="s">
        <v>30</v>
      </c>
      <c r="O18" s="745"/>
      <c r="P18" s="48">
        <v>113.2</v>
      </c>
      <c r="Q18" s="738" t="s">
        <v>146</v>
      </c>
      <c r="R18" s="739"/>
      <c r="S18" s="54" t="str">
        <f>IF(L18&gt;0,SUM(MODULO!$D$49*MODULO!$M$49)/1000000*P18,"")</f>
        <v/>
      </c>
      <c r="T18" s="54" t="str">
        <f>IF(L18&gt;0,SUM(MODULO!$D$53*MODULO!$M$53)/1000000*P18,"")</f>
        <v/>
      </c>
      <c r="U18" s="54" t="str">
        <f>IF(L18&gt;0,SUM(MODULO!$D$57*MODULO!$M$57)/1000000*P18,"")</f>
        <v/>
      </c>
      <c r="V18" s="54" t="str">
        <f>IF(L18&gt;0,SUM(MODULO!$D$61*MODULO!$M$61)/1000000*P18,"")</f>
        <v/>
      </c>
      <c r="W18" s="54" t="str">
        <f>IF(L18&gt;0,SUM(MODULO!$D$65*MODULO!$M$65)/1000000*P18,"")</f>
        <v/>
      </c>
      <c r="AA18" s="40"/>
    </row>
    <row r="19" spans="1:38" ht="23.1" hidden="1" customHeight="1">
      <c r="A19" s="49">
        <f t="shared" si="6"/>
        <v>0</v>
      </c>
      <c r="B19" s="54" t="str">
        <f>IF(I19&gt;0,SUM(MODULO!$D$49+MODULO!$M$49)*2/1000*G19,"")</f>
        <v/>
      </c>
      <c r="C19" s="54" t="str">
        <f>IF(I19&gt;0,SUM(MODULO!$D$53+MODULO!$M$53)*2/1000*G19,"")</f>
        <v/>
      </c>
      <c r="D19" s="54" t="str">
        <f>IF(I19&gt;0,SUM(MODULO!$D$57+MODULO!$M$57)*2/1000*G19,"")</f>
        <v/>
      </c>
      <c r="E19" s="54" t="str">
        <f>IF(I19&gt;0,SUM(MODULO!$D$61+MODULO!$M$61)*2/1000*G19,"")</f>
        <v/>
      </c>
      <c r="F19" s="54" t="str">
        <f>IF(I19&gt;0,SUM(MODULO!$D$65+MODULO!$M$65)*2/1000*G19,"")</f>
        <v/>
      </c>
      <c r="G19" s="57">
        <v>22.34</v>
      </c>
      <c r="H19" s="763"/>
      <c r="I19" s="28">
        <f t="shared" ref="I19" si="8">IF(J19="VERO",1,0)</f>
        <v>0</v>
      </c>
      <c r="J19" s="15" t="str">
        <f>IF(AND(MODULO!$M$26="art. 3301",OR(MODULO!$M$29="alluminio anodizzato",MODULO!$M$29="acciaio anodizzato")),"VERO","FALSO")</f>
        <v>FALSO</v>
      </c>
      <c r="K19" s="18" t="s">
        <v>255</v>
      </c>
      <c r="L19">
        <f t="shared" si="5"/>
        <v>0</v>
      </c>
      <c r="M19" s="16" t="b">
        <f>IF(MODULO!$M$38="SPECCHIO BRONZATO","VERO",FALSE)</f>
        <v>0</v>
      </c>
      <c r="N19" s="17" t="s">
        <v>31</v>
      </c>
      <c r="O19" s="743">
        <f>SUM(I19:I21)</f>
        <v>0</v>
      </c>
      <c r="P19" s="48">
        <v>113.2</v>
      </c>
      <c r="Q19" s="738" t="s">
        <v>146</v>
      </c>
      <c r="R19" s="739"/>
      <c r="S19" s="54" t="str">
        <f>IF(L19&gt;0,SUM(MODULO!$D$49*MODULO!$M$49)/1000000*P19,"")</f>
        <v/>
      </c>
      <c r="T19" s="54" t="str">
        <f>IF(L19&gt;0,SUM(MODULO!$D$53*MODULO!$M$53)/1000000*P19,"")</f>
        <v/>
      </c>
      <c r="U19" s="54" t="str">
        <f>IF(L19&gt;0,SUM(MODULO!$D$57*MODULO!$M$57)/1000000*P19,"")</f>
        <v/>
      </c>
      <c r="V19" s="54" t="str">
        <f>IF(L19&gt;0,SUM(MODULO!$D$61*MODULO!$M$61)/1000000*P19,"")</f>
        <v/>
      </c>
      <c r="W19" s="54" t="str">
        <f>IF(L19&gt;0,SUM(MODULO!$D$65*MODULO!$M$65)/1000000*P19,"")</f>
        <v/>
      </c>
      <c r="AA19" s="25" t="s">
        <v>191</v>
      </c>
      <c r="AB19" s="161" t="s">
        <v>52</v>
      </c>
      <c r="AC19" s="161" t="s">
        <v>174</v>
      </c>
    </row>
    <row r="20" spans="1:38" ht="23.1" hidden="1" customHeight="1">
      <c r="A20" s="49">
        <f t="shared" si="6"/>
        <v>0</v>
      </c>
      <c r="B20" s="54" t="str">
        <f>IF(I20&gt;0,SUM(MODULO!$D$49+MODULO!$M$49)*2/1000*G20,"")</f>
        <v/>
      </c>
      <c r="C20" s="54" t="str">
        <f>IF(I20&gt;0,SUM(MODULO!$D$53+MODULO!$M$53)*2/1000*G20,"")</f>
        <v/>
      </c>
      <c r="D20" s="54" t="str">
        <f>IF(I20&gt;0,SUM(MODULO!$D$57+MODULO!$M$57)*2/1000*G20,"")</f>
        <v/>
      </c>
      <c r="E20" s="54" t="str">
        <f>IF(I20&gt;0,SUM(MODULO!$D$61+MODULO!$M$61)*2/1000*G20,"")</f>
        <v/>
      </c>
      <c r="F20" s="54" t="str">
        <f>IF(I20&gt;0,SUM(MODULO!$D$65+MODULO!$M$65)*2/1000*G20,"")</f>
        <v/>
      </c>
      <c r="G20" s="57">
        <v>29</v>
      </c>
      <c r="H20" s="763"/>
      <c r="I20" s="28">
        <f t="shared" si="1"/>
        <v>0</v>
      </c>
      <c r="J20" s="15" t="str">
        <f>IF(AND(MODULO!$M$26="art. 3301",OR(MODULO!$M$29="metal grey",MODULO!$M$29="NERO OPACO RAL 9005")),"VERO","FALSO")</f>
        <v>FALSO</v>
      </c>
      <c r="K20" s="18" t="s">
        <v>252</v>
      </c>
      <c r="L20">
        <f t="shared" si="5"/>
        <v>0</v>
      </c>
      <c r="M20" s="16" t="b">
        <f>IF(MODULO!$M$38="SATINATO FUME'","VERO",FALSE)</f>
        <v>0</v>
      </c>
      <c r="N20" s="17" t="s">
        <v>97</v>
      </c>
      <c r="O20" s="744"/>
      <c r="P20" s="47">
        <v>80.900000000000006</v>
      </c>
      <c r="Q20" s="740"/>
      <c r="R20" s="740"/>
      <c r="S20" s="54" t="str">
        <f>IF(L20&gt;0,SUM(MODULO!$D$49*MODULO!$M$49)/1000000*P20,"")</f>
        <v/>
      </c>
      <c r="T20" s="54" t="str">
        <f>IF(L20&gt;0,SUM(MODULO!$D$53*MODULO!$M$53)/1000000*P20,"")</f>
        <v/>
      </c>
      <c r="U20" s="54" t="str">
        <f>IF(L20&gt;0,SUM(MODULO!$D$57*MODULO!$M$57)/1000000*P20,"")</f>
        <v/>
      </c>
      <c r="V20" s="54" t="str">
        <f>IF(L20&gt;0,SUM(MODULO!$D$61*MODULO!$M$61)/1000000*P20,"")</f>
        <v/>
      </c>
      <c r="W20" s="54" t="str">
        <f>IF(L20&gt;0,SUM(MODULO!$D$65*MODULO!$M$65)/1000000*P20,"")</f>
        <v/>
      </c>
      <c r="AA20" s="162" t="s">
        <v>174</v>
      </c>
      <c r="AB20" s="161" t="s">
        <v>49</v>
      </c>
      <c r="AC20" s="161" t="b">
        <f>IF(OR(MODULO!$M$26=DATI!$AB$25,MODULO!$M$26=DATI!$AC$25,MODULO!$M$26=DATI!$AD$25),$AB$26,IF(OR(MODULO!$M$26=DATI!$AE$25,MODULO!$M$26=DATI!$AF$25,MODULO!$M$26=DATI!$AG$25,MODULO!$M$26=DATI!$AH$25,MODULO!$M$26=DATI!$AI$25,MODULO!$M$26=DATI!$AJ$25,MODULO!$M$26=DATI!$AL$25),DATI!$AE$26))</f>
        <v>0</v>
      </c>
    </row>
    <row r="21" spans="1:38" ht="23.1" hidden="1" customHeight="1">
      <c r="A21" s="49">
        <f t="shared" si="6"/>
        <v>0</v>
      </c>
      <c r="B21" s="54" t="str">
        <f>IF(I21&gt;0,SUM(MODULO!$D$49+MODULO!$M$49)*2/1000*G21,"")</f>
        <v/>
      </c>
      <c r="C21" s="54" t="str">
        <f>IF(I21&gt;0,SUM(MODULO!$D$53+MODULO!$M$53)*2/1000*G21,"")</f>
        <v/>
      </c>
      <c r="D21" s="54" t="str">
        <f>IF(I21&gt;0,SUM(MODULO!$D$57+MODULO!$M$57)*2/1000*G21,"")</f>
        <v/>
      </c>
      <c r="E21" s="54" t="str">
        <f>IF(I21&gt;0,SUM(MODULO!$D$61+MODULO!$M$61)*2/1000*G21,"")</f>
        <v/>
      </c>
      <c r="F21" s="54" t="str">
        <f>IF(I21&gt;0,SUM(MODULO!$D$65+MODULO!$M$65)*2/1000*G21,"")</f>
        <v/>
      </c>
      <c r="G21" s="57">
        <v>13.66</v>
      </c>
      <c r="H21" s="763"/>
      <c r="I21" s="28">
        <f>IF(J21="VERO",1,0)</f>
        <v>0</v>
      </c>
      <c r="J21" s="15" t="str">
        <f>IF(AND(MODULO!$M$26="art. 2020",OR(MODULO!$M$29="RAL 7016 GRIGIO SCURO",MODULO!$M$29="RAL 7035 GRIGIO CHIARO")),"VERO","FALSO")</f>
        <v>FALSO</v>
      </c>
      <c r="K21" s="18" t="s">
        <v>256</v>
      </c>
      <c r="L21">
        <f t="shared" si="5"/>
        <v>0</v>
      </c>
      <c r="M21" s="16" t="b">
        <f>IF(MODULO!$M$38="SATINATO BRONZO","VERO",FALSE)</f>
        <v>0</v>
      </c>
      <c r="N21" s="17" t="s">
        <v>98</v>
      </c>
      <c r="O21" s="744"/>
      <c r="P21" s="47">
        <v>80.900000000000006</v>
      </c>
      <c r="Q21" s="740"/>
      <c r="R21" s="740"/>
      <c r="S21" s="54" t="str">
        <f>IF(L21&gt;0,SUM(MODULO!$D$49*MODULO!$M$49)/1000000*P21,"")</f>
        <v/>
      </c>
      <c r="T21" s="54" t="str">
        <f>IF(L21&gt;0,SUM(MODULO!$D$53*MODULO!$M$53)/1000000*P21,"")</f>
        <v/>
      </c>
      <c r="U21" s="54" t="str">
        <f>IF(L21&gt;0,SUM(MODULO!$D$57*MODULO!$M$57)/1000000*P21,"")</f>
        <v/>
      </c>
      <c r="V21" s="54" t="str">
        <f>IF(L21&gt;0,SUM(MODULO!$D$61*MODULO!$M$61)/1000000*P21,"")</f>
        <v/>
      </c>
      <c r="W21" s="54" t="str">
        <f>IF(L21&gt;0,SUM(MODULO!$D$65*MODULO!$M$65)/1000000*P21,"")</f>
        <v/>
      </c>
      <c r="X21" s="276"/>
      <c r="AA21" s="162" t="s">
        <v>52</v>
      </c>
      <c r="AB21" s="161" t="s">
        <v>48</v>
      </c>
      <c r="AC21" s="161" t="str">
        <f>IF(AND(MODULO!$M$26=DATI!$AB$25),$AB$27,IF(AND(MODULO!$M$26=DATI!$AC$25),$AC$27,""))</f>
        <v/>
      </c>
    </row>
    <row r="22" spans="1:38" ht="23.1" hidden="1" customHeight="1">
      <c r="A22" s="49">
        <f t="shared" si="6"/>
        <v>0</v>
      </c>
      <c r="B22" s="54" t="str">
        <f>IF(I22&gt;0,SUM(MODULO!$D$49+MODULO!$M$49)*2/1000*G22,"")</f>
        <v/>
      </c>
      <c r="C22" s="54" t="str">
        <f>IF(I22&gt;0,SUM(MODULO!$D$53+MODULO!$M$53)*2/1000*G22,"")</f>
        <v/>
      </c>
      <c r="D22" s="54" t="str">
        <f>IF(I22&gt;0,SUM(MODULO!$D$57+MODULO!$M$57)*2/1000*G22,"")</f>
        <v/>
      </c>
      <c r="E22" s="54" t="str">
        <f>IF(I22&gt;0,SUM(MODULO!$D$61+MODULO!$M$61)*2/1000*G22,"")</f>
        <v/>
      </c>
      <c r="F22" s="54" t="str">
        <f>IF(I22&gt;0,SUM(MODULO!$D$65+MODULO!$M$65)*2/1000*G22,"")</f>
        <v/>
      </c>
      <c r="G22" s="59">
        <v>16.690000000000001</v>
      </c>
      <c r="H22" s="763"/>
      <c r="I22" s="28">
        <f t="shared" ref="I22" si="9">IF(J22="VERO",1,0)</f>
        <v>0</v>
      </c>
      <c r="J22" s="15" t="str">
        <f>IF(AND(MODULO!$M$26="art. an008",OR(MODULO!$M$29="alluminio anodizzato",MODULO!$M$29="acciaio anodizzato")),"VERO","FALSO")</f>
        <v>FALSO</v>
      </c>
      <c r="K22" s="18" t="s">
        <v>254</v>
      </c>
      <c r="L22">
        <f t="shared" si="5"/>
        <v>0</v>
      </c>
      <c r="M22" s="16" t="b">
        <f>IF(MODULO!$M$38="LACOBEL BIANCO EXTRACHIARO","VERO",FALSE)</f>
        <v>0</v>
      </c>
      <c r="N22" s="17" t="s">
        <v>46</v>
      </c>
      <c r="O22" s="744">
        <f>SUM(I22:I23)</f>
        <v>0</v>
      </c>
      <c r="P22" s="48">
        <v>116.51</v>
      </c>
      <c r="Q22" s="738" t="s">
        <v>146</v>
      </c>
      <c r="R22" s="739"/>
      <c r="S22" s="54" t="str">
        <f>IF(L22&gt;0,SUM(MODULO!$D$49*MODULO!$M$49)/1000000*P22,"")</f>
        <v/>
      </c>
      <c r="T22" s="54" t="str">
        <f>IF(L22&gt;0,SUM(MODULO!$D$53*MODULO!$M$53)/1000000*P22,"")</f>
        <v/>
      </c>
      <c r="U22" s="54" t="str">
        <f>IF(L22&gt;0,SUM(MODULO!$D$57*MODULO!$M$57)/1000000*P22,"")</f>
        <v/>
      </c>
      <c r="V22" s="54" t="str">
        <f>IF(L22&gt;0,SUM(MODULO!$D$61*MODULO!$M$61)/1000000*P22,"")</f>
        <v/>
      </c>
      <c r="W22" s="54" t="str">
        <f>IF(L22&gt;0,SUM(MODULO!$D$65*MODULO!$M$65)/1000000*P22,"")</f>
        <v/>
      </c>
      <c r="AA22" s="25"/>
      <c r="AB22" s="161" t="s">
        <v>187</v>
      </c>
      <c r="AC22" s="161"/>
    </row>
    <row r="23" spans="1:38" ht="23.1" hidden="1" customHeight="1" thickBot="1">
      <c r="A23" s="49">
        <f t="shared" si="6"/>
        <v>0</v>
      </c>
      <c r="B23" s="54" t="str">
        <f>IF(I23&gt;0,SUM(MODULO!$D$49+MODULO!$M$49)*2/1000*G23,"")</f>
        <v/>
      </c>
      <c r="C23" s="54" t="str">
        <f>IF(I23&gt;0,SUM(MODULO!$D$53+MODULO!$M$53)*2/1000*G23,"")</f>
        <v/>
      </c>
      <c r="D23" s="54" t="str">
        <f>IF(I23&gt;0,SUM(MODULO!$D$57+MODULO!$M$57)*2/1000*G23,"")</f>
        <v/>
      </c>
      <c r="E23" s="54" t="str">
        <f>IF(I23&gt;0,SUM(MODULO!$D$61+MODULO!$M$61)*2/1000*G23,"")</f>
        <v/>
      </c>
      <c r="F23" s="54" t="str">
        <f>IF(I23&gt;0,SUM(MODULO!$D$65+MODULO!$M$65)*2/1000*G23,"")</f>
        <v/>
      </c>
      <c r="G23" s="57">
        <v>23.35</v>
      </c>
      <c r="H23" s="582"/>
      <c r="I23" s="28">
        <f t="shared" ref="I23" si="10">IF(J23="VERO",1,0)</f>
        <v>0</v>
      </c>
      <c r="J23" s="15" t="str">
        <f>IF(AND(MODULO!$M$26="art. AN008",OR(MODULO!$M$29="metal grey",MODULO!$M$29="NERO OPACO RAL 9005")),"VERO","FALSO")</f>
        <v>FALSO</v>
      </c>
      <c r="K23" s="18" t="s">
        <v>257</v>
      </c>
      <c r="L23">
        <f t="shared" si="5"/>
        <v>0</v>
      </c>
      <c r="M23" s="16" t="b">
        <f>IF(MODULO!$M$38="NO VETRO, NO GUARNIZIONI","VERO",FALSE)</f>
        <v>0</v>
      </c>
      <c r="N23" s="29" t="s">
        <v>281</v>
      </c>
      <c r="O23" s="744"/>
      <c r="P23" s="47">
        <v>0</v>
      </c>
      <c r="Q23" s="740"/>
      <c r="R23" s="740"/>
      <c r="S23" s="54" t="str">
        <f>IF(L23&gt;0,SUM(MODULO!$D$49*MODULO!$M$49)/1000000*P23,"")</f>
        <v/>
      </c>
      <c r="T23" s="54" t="str">
        <f>IF(L23&gt;0,SUM(MODULO!$D$53*MODULO!$M$53)/1000000*P23,"")</f>
        <v/>
      </c>
      <c r="U23" s="54" t="str">
        <f>IF(L23&gt;0,SUM(MODULO!$D$57*MODULO!$M$57)/1000000*P23,"")</f>
        <v/>
      </c>
      <c r="V23" s="54" t="str">
        <f>IF(L23&gt;0,SUM(MODULO!$D$61*MODULO!$M$61)/1000000*P23,"")</f>
        <v/>
      </c>
      <c r="W23" s="54" t="str">
        <f>IF(L23&gt;0,SUM(MODULO!$D$65*MODULO!$M$65)/1000000*P23,"")</f>
        <v/>
      </c>
      <c r="AA23" s="160"/>
      <c r="AB23" s="28" t="b">
        <f>IF(OR(MODULO!$M$26=DATI!$AB$25,MODULO!$M$26=DATI!$AC$25,MODULO!$M$26=DATI!$AD$25),$AB$26,IF(OR(MODULO!$M$26=DATI!$AE$25,MODULO!$M$26=DATI!$AF$25,MODULO!$M$26=DATI!$AG$25,MODULO!$M$26=DATI!$AH$25,MODULO!$M$26=DATI!$AI$25,MODULO!$M$26=DATI!$AJ$25,MODULO!$M$26=DATI!$AL$25),DATI!$AE$26))</f>
        <v>0</v>
      </c>
    </row>
    <row r="24" spans="1:38" ht="23.1" hidden="1" customHeight="1" thickBot="1">
      <c r="C24" s="287"/>
      <c r="D24" s="55"/>
      <c r="G24" s="4"/>
      <c r="K24" s="116" t="e">
        <f>VLOOKUP("VERO",J3:K23,2,"FALSO")</f>
        <v>#N/A</v>
      </c>
      <c r="M24" s="16" t="b">
        <f>IF(MODULO!$M$38="NO VETRO, DARE GUARNIZIONI","VERO",FALSE)</f>
        <v>0</v>
      </c>
      <c r="N24" s="17" t="s">
        <v>282</v>
      </c>
      <c r="O24" s="308"/>
      <c r="P24" s="47"/>
      <c r="S24" s="54" t="str">
        <f>IF(L24&gt;0,SUM(MODULO!$D$49*MODULO!$M$49)/1000000*P24,"")</f>
        <v/>
      </c>
      <c r="T24" s="54" t="str">
        <f>IF(L24&gt;0,SUM(MODULO!$D$53*MODULO!$M$53)/1000000*P24,"")</f>
        <v/>
      </c>
      <c r="U24" s="54" t="str">
        <f>IF(L24&gt;0,SUM(MODULO!$D$57*MODULO!$M$57)/1000000*P24,"")</f>
        <v/>
      </c>
      <c r="V24" s="54" t="str">
        <f>IF(L24&gt;0,SUM(MODULO!$D$61*MODULO!$M$61)/1000000*P24,"")</f>
        <v/>
      </c>
      <c r="W24" s="54" t="str">
        <f>IF(L24&gt;0,SUM(MODULO!$D$65*MODULO!$M$65)/1000000*P24,"")</f>
        <v/>
      </c>
      <c r="AB24" s="28" t="str">
        <f>IF(AND(MODULO!$M$26=DATI!$AB$25),$AB$27,IF(AND(MODULO!$M$26=DATI!$AC$25),$AC$27,""))</f>
        <v/>
      </c>
    </row>
    <row r="25" spans="1:38" ht="23.1" hidden="1" customHeight="1" thickBot="1">
      <c r="C25" s="287"/>
      <c r="D25" s="55"/>
      <c r="G25" s="4"/>
      <c r="H25" s="28"/>
      <c r="I25" s="33">
        <f>IF(J25="VERO",1,0)</f>
        <v>0</v>
      </c>
      <c r="J25" t="b">
        <f>IF(MODULO!$M$23="SI","VERO",FALSE)</f>
        <v>0</v>
      </c>
      <c r="K25" s="42" t="s">
        <v>83</v>
      </c>
      <c r="M25" s="16" t="b">
        <f>IF(MODULO!$M$38="ALTRO, SCRIVI IN NOTE","VERO",FALSE)</f>
        <v>0</v>
      </c>
      <c r="N25" s="29" t="s">
        <v>283</v>
      </c>
      <c r="O25" s="72"/>
      <c r="P25" s="47"/>
      <c r="S25" s="54" t="str">
        <f>IF(L25&gt;0,SUM(MODULO!$D$49*MODULO!$M$49)/1000000*P25,"")</f>
        <v/>
      </c>
      <c r="T25" s="54" t="str">
        <f>IF(L25&gt;0,SUM(MODULO!$D$53*MODULO!$M$53)/1000000*P25,"")</f>
        <v/>
      </c>
      <c r="U25" s="54" t="str">
        <f>IF(L25&gt;0,SUM(MODULO!$D$57*MODULO!$M$57)/1000000*P25,"")</f>
        <v/>
      </c>
      <c r="V25" s="54" t="str">
        <f>IF(L25&gt;0,SUM(MODULO!$D$61*MODULO!$M$61)/1000000*P25,"")</f>
        <v/>
      </c>
      <c r="W25" s="54" t="str">
        <f>IF(L25&gt;0,SUM(MODULO!$D$65*MODULO!$M$65)/1000000*P25,"")</f>
        <v/>
      </c>
      <c r="AA25" s="164" t="s">
        <v>190</v>
      </c>
      <c r="AB25" s="40" t="s">
        <v>82</v>
      </c>
      <c r="AC25" s="40" t="s">
        <v>107</v>
      </c>
      <c r="AD25" s="40" t="s">
        <v>73</v>
      </c>
      <c r="AE25" s="40" t="s">
        <v>182</v>
      </c>
      <c r="AF25" s="302" t="s">
        <v>183</v>
      </c>
      <c r="AG25" s="40" t="s">
        <v>184</v>
      </c>
      <c r="AH25" s="40" t="s">
        <v>185</v>
      </c>
      <c r="AI25" s="40" t="s">
        <v>186</v>
      </c>
      <c r="AJ25" s="40" t="s">
        <v>269</v>
      </c>
      <c r="AK25" s="40"/>
      <c r="AL25" s="40" t="s">
        <v>265</v>
      </c>
    </row>
    <row r="26" spans="1:38" ht="23.1" hidden="1" customHeight="1" thickBot="1">
      <c r="A26" s="59">
        <f>SUM($A$3:$A$23)</f>
        <v>0</v>
      </c>
      <c r="B26" s="59">
        <f>SUM(B3:B23)</f>
        <v>0</v>
      </c>
      <c r="C26" s="58">
        <f>S26</f>
        <v>0</v>
      </c>
      <c r="D26" s="57"/>
      <c r="E26" s="57"/>
      <c r="F26" s="57"/>
      <c r="G26" s="4"/>
      <c r="H26" s="60">
        <f>SUM(A26:G26)</f>
        <v>0</v>
      </c>
      <c r="I26" s="33">
        <f>IF(J26="VERO",1,0)</f>
        <v>0</v>
      </c>
      <c r="J26" t="b">
        <f>IF(MODULO!$M$23="NO","VERO",FALSE)</f>
        <v>0</v>
      </c>
      <c r="K26" s="42" t="s">
        <v>84</v>
      </c>
      <c r="M26" s="16"/>
      <c r="N26" s="117" t="e">
        <f>VLOOKUP("VERO",M3:N25,2,"FALSO")</f>
        <v>#N/A</v>
      </c>
      <c r="O26" s="72"/>
      <c r="S26" s="58">
        <f>SUM(S3:S25)</f>
        <v>0</v>
      </c>
      <c r="T26" s="57"/>
      <c r="U26" s="57"/>
      <c r="V26" s="57"/>
      <c r="W26" s="57"/>
      <c r="Z26" s="50"/>
      <c r="AA26" s="40" t="s">
        <v>82</v>
      </c>
      <c r="AB26" s="161" t="s">
        <v>211</v>
      </c>
      <c r="AC26" s="161" t="s">
        <v>211</v>
      </c>
      <c r="AD26" s="161" t="s">
        <v>211</v>
      </c>
      <c r="AE26" s="161" t="s">
        <v>188</v>
      </c>
      <c r="AF26" s="304" t="s">
        <v>188</v>
      </c>
      <c r="AG26" s="161" t="s">
        <v>188</v>
      </c>
      <c r="AH26" s="161" t="s">
        <v>188</v>
      </c>
      <c r="AI26" s="161" t="s">
        <v>188</v>
      </c>
      <c r="AJ26" s="161" t="s">
        <v>188</v>
      </c>
      <c r="AL26" s="161" t="s">
        <v>266</v>
      </c>
    </row>
    <row r="27" spans="1:38" ht="23.1" hidden="1" customHeight="1" thickBot="1">
      <c r="A27" s="59">
        <f>SUM($A$3:$A$23)</f>
        <v>0</v>
      </c>
      <c r="B27" s="59"/>
      <c r="C27" s="59">
        <f>SUM($C$3:$C$23)</f>
        <v>0</v>
      </c>
      <c r="D27" s="58">
        <f>T27</f>
        <v>0</v>
      </c>
      <c r="E27" s="57"/>
      <c r="F27" s="57"/>
      <c r="H27" s="60">
        <f t="shared" ref="H27:H30" si="11">SUM(A27:G27)</f>
        <v>0</v>
      </c>
      <c r="I27" s="33">
        <f>SUM(I25:I26)</f>
        <v>0</v>
      </c>
      <c r="J27" s="32" t="s">
        <v>92</v>
      </c>
      <c r="L27" s="43">
        <f>SUM(I2+L2+I27)</f>
        <v>0</v>
      </c>
      <c r="M27" s="44" t="s">
        <v>93</v>
      </c>
      <c r="N27" s="30"/>
      <c r="O27" s="72"/>
      <c r="T27" s="58">
        <f>SUM($T$3:$T$25)</f>
        <v>0</v>
      </c>
      <c r="U27" s="57"/>
      <c r="V27" s="57"/>
      <c r="W27" s="57"/>
      <c r="Z27" s="50"/>
      <c r="AA27" s="40" t="s">
        <v>107</v>
      </c>
      <c r="AB27" s="161" t="s">
        <v>193</v>
      </c>
      <c r="AC27" s="161" t="s">
        <v>194</v>
      </c>
    </row>
    <row r="28" spans="1:38" ht="23.1" hidden="1" customHeight="1">
      <c r="A28" s="59">
        <f>SUM($A$3:$A$23)</f>
        <v>0</v>
      </c>
      <c r="B28" s="59"/>
      <c r="C28" s="34"/>
      <c r="D28" s="59">
        <f>SUM($D$3:$D$23)</f>
        <v>0</v>
      </c>
      <c r="E28" s="58">
        <f>U28</f>
        <v>0</v>
      </c>
      <c r="F28" s="57"/>
      <c r="G28" s="3"/>
      <c r="H28" s="60">
        <f t="shared" si="11"/>
        <v>0</v>
      </c>
      <c r="M28" s="16"/>
      <c r="N28" s="30"/>
      <c r="O28" s="72"/>
      <c r="U28" s="58">
        <f>SUM($U$3:$U$25)</f>
        <v>0</v>
      </c>
      <c r="V28" s="57"/>
      <c r="W28" s="57"/>
      <c r="Z28" s="50"/>
      <c r="AA28" s="40" t="s">
        <v>73</v>
      </c>
    </row>
    <row r="29" spans="1:38" ht="23.1" hidden="1" customHeight="1">
      <c r="A29" s="59">
        <f>SUM($A$3:$A$23)</f>
        <v>0</v>
      </c>
      <c r="B29" s="59"/>
      <c r="C29" s="34"/>
      <c r="D29" s="34"/>
      <c r="E29" s="59">
        <f>SUM($E$3:$E$23)</f>
        <v>0</v>
      </c>
      <c r="F29" s="58">
        <f>V29</f>
        <v>0</v>
      </c>
      <c r="H29" s="60">
        <f t="shared" si="11"/>
        <v>0</v>
      </c>
      <c r="M29" s="16"/>
      <c r="N29" s="30"/>
      <c r="O29" s="72"/>
      <c r="P29" s="76" t="s">
        <v>8</v>
      </c>
      <c r="Q29" s="76" t="s">
        <v>10</v>
      </c>
      <c r="R29" s="76" t="s">
        <v>11</v>
      </c>
      <c r="S29" s="76" t="s">
        <v>9</v>
      </c>
      <c r="T29" s="76" t="s">
        <v>12</v>
      </c>
      <c r="V29" s="58">
        <f>SUM($V$3:$V$25)</f>
        <v>0</v>
      </c>
      <c r="W29" s="57"/>
      <c r="Z29" s="50"/>
      <c r="AA29" s="40" t="s">
        <v>182</v>
      </c>
    </row>
    <row r="30" spans="1:38" ht="23.1" hidden="1" customHeight="1" thickBot="1">
      <c r="A30" s="59">
        <f>SUM($A$3:$A$23)</f>
        <v>0</v>
      </c>
      <c r="B30" s="59"/>
      <c r="C30" s="64"/>
      <c r="D30" s="65"/>
      <c r="E30" s="34"/>
      <c r="F30" s="59">
        <f>SUM($F$3:$F$23)</f>
        <v>0</v>
      </c>
      <c r="G30" s="59">
        <f>W30</f>
        <v>0</v>
      </c>
      <c r="H30" s="66">
        <f t="shared" si="11"/>
        <v>0</v>
      </c>
      <c r="M30" s="16"/>
      <c r="N30" s="30"/>
      <c r="O30" s="53" t="s">
        <v>13</v>
      </c>
      <c r="P30" s="51">
        <f>CARTELLINO!H44</f>
        <v>0</v>
      </c>
      <c r="Q30" s="51">
        <f>CARTELLINO!H45</f>
        <v>0</v>
      </c>
      <c r="R30" s="51">
        <f>CARTELLINO!H46</f>
        <v>0</v>
      </c>
      <c r="S30" s="51">
        <f>CARTELLINO!H47</f>
        <v>0</v>
      </c>
      <c r="T30" s="51">
        <f>CARTELLINO!H48</f>
        <v>0</v>
      </c>
      <c r="W30" s="58">
        <f>SUM($W$3:$W$25)</f>
        <v>0</v>
      </c>
      <c r="Z30" s="50"/>
      <c r="AA30" s="40" t="s">
        <v>184</v>
      </c>
      <c r="AB30" s="50"/>
      <c r="AC30" s="63"/>
      <c r="AD30" s="63"/>
    </row>
    <row r="31" spans="1:38" ht="23.1" hidden="1" customHeight="1" thickBot="1">
      <c r="A31" s="776" t="s">
        <v>110</v>
      </c>
      <c r="B31" s="777"/>
      <c r="C31" s="777"/>
      <c r="D31" s="777"/>
      <c r="E31" s="777"/>
      <c r="F31" s="83"/>
      <c r="G31" s="776" t="s">
        <v>112</v>
      </c>
      <c r="H31" s="777"/>
      <c r="I31" s="777"/>
      <c r="J31" s="777"/>
      <c r="K31" s="777"/>
      <c r="L31" s="94"/>
      <c r="M31" s="143"/>
      <c r="N31" s="71" t="s">
        <v>119</v>
      </c>
      <c r="O31" s="53" t="s">
        <v>121</v>
      </c>
      <c r="P31" s="58">
        <f>CARTELLINO!B44</f>
        <v>0</v>
      </c>
      <c r="Q31" s="58">
        <f>CARTELLINO!B45</f>
        <v>0</v>
      </c>
      <c r="R31" s="58">
        <f>CARTELLINO!B46</f>
        <v>0</v>
      </c>
      <c r="S31" s="58">
        <f>CARTELLINO!B47</f>
        <v>0</v>
      </c>
      <c r="T31" s="58">
        <f>CARTELLINO!B48</f>
        <v>0</v>
      </c>
      <c r="Z31" s="50"/>
      <c r="AA31" s="40" t="s">
        <v>185</v>
      </c>
      <c r="AB31" s="32"/>
    </row>
    <row r="32" spans="1:38" ht="23.1" hidden="1" customHeight="1" thickBot="1">
      <c r="A32" s="84" t="s">
        <v>118</v>
      </c>
      <c r="B32" s="766">
        <v>19.91</v>
      </c>
      <c r="C32" s="778"/>
      <c r="D32" s="766">
        <v>22</v>
      </c>
      <c r="E32" s="778"/>
      <c r="F32" s="85"/>
      <c r="G32" s="84" t="s">
        <v>118</v>
      </c>
      <c r="H32" s="766">
        <v>33.53</v>
      </c>
      <c r="I32" s="778"/>
      <c r="J32" s="766">
        <v>34.840000000000003</v>
      </c>
      <c r="K32" s="778"/>
      <c r="L32" s="766">
        <v>37.950000000000003</v>
      </c>
      <c r="M32" s="767"/>
      <c r="N32" s="75" t="s">
        <v>110</v>
      </c>
      <c r="O32" s="81"/>
      <c r="P32" s="76" t="str">
        <f>IF(MODULO!$AA$50=DATI!N32,IF(AND(P$30&lt;=200,P$31&gt;$B$34,P$31&lt;$D$34),$B$33,IF(AND(P$30&gt;200,P$31&gt;$B$35,P$30&lt;=250,P$31&lt;$D$35),$B$33,IF(AND(P$30&gt;250,P$31&gt;$B$36,P$30&lt;=300,P$31&lt;$D$36),$B$33,IF(AND(P$30&gt;300,P$31&gt;$B$37,P$30&lt;=350,P$31&lt;$D$37),$B$33,IF(AND(P$30&gt;350,P$31&gt;$B$38,P$30&lt;=400,P$31&lt;$D$38),$B$33,IF(AND(P$30&gt;400,P$31&gt;$B$39,P$30&lt;=450,P$31&lt;$D$39),$B$33,IF(AND(P$30&lt;=200,P$31&gt;$D$34,P$31&lt;$E$34),$D$33,IF(AND(P$30&gt;200,P$31&gt;$D$35,P$30&lt;=250,P$31&lt;$E$35),$D$33,IF(AND(P$30&gt;250,P$31&gt;$D$36,P$30&lt;=300,P$31&lt;$E$36),$D$33,IF(AND(P$30&gt;300,P$31&gt;$D$37,P$30&lt;=350,P$31&lt;$E$37),$D$33,IF(AND(P$30&gt;350,P$31&gt;$D$38,P$30&lt;=400,P$31&lt;$E$38),$D$33,IF(AND(P$30&gt;400,P$31&gt;$D$39,P$30&lt;=450,P$31&lt;$E$39),$D$33,"NON PUOI")))))))))))),"NO")</f>
        <v>NO</v>
      </c>
      <c r="Q32" s="76" t="str">
        <f>IF(MODULO!$AA$54=DATI!N32,IF(AND(Q$30&lt;=200,Q$31&gt;$B$34,Q$31&lt;$D$34),$B$33,IF(AND(Q$30&gt;200,Q$31&gt;$B$35,Q$30&lt;=250,Q$31&lt;$D$35),$B$33,IF(AND(Q$30&gt;250,Q$31&gt;$B$36,Q$30&lt;=300,Q$31&lt;$D$36),$B$33,IF(AND(Q$30&gt;300,Q$31&gt;$B$37,Q$30&lt;=350,Q$31&lt;$D$37),$B$33,IF(AND(Q$30&gt;350,Q$31&gt;$B$38,Q$30&lt;=400,Q$31&lt;$D$38),$B$33,IF(AND(Q$30&gt;400,Q$31&gt;$B$39,Q$30&lt;=450,Q$31&lt;$D$39),$B$33,IF(AND(Q$30&lt;=200,Q$31&gt;$D$34,Q$31&lt;$E$34),$D$33,IF(AND(Q$30&gt;200,Q$31&gt;$D$35,Q$30&lt;=250,Q$31&lt;$E$35),$D$33,IF(AND(Q$30&gt;250,Q$31&gt;$D$36,Q$30&lt;=300,Q$31&lt;$E$36),$D$33,IF(AND(Q$30&gt;300,Q$31&gt;$D$37,Q$30&lt;=350,Q$31&lt;$E$37),$D$33,IF(AND(Q$30&gt;350,Q$31&gt;$D$38,Q$30&lt;=400,Q$31&lt;$E$38),$D$33,IF(AND(Q$30&gt;400,Q$31&gt;$D$39,Q$30&lt;=450,Q$31&lt;$E$39),$D$33,"NON PUOI")))))))))))),"NO")</f>
        <v>NO</v>
      </c>
      <c r="R32" s="76" t="str">
        <f>IF(MODULO!$AA$58=DATI!N32,IF(AND(R$30&lt;=200,R$31&gt;$B$34,R$31&lt;$D$34),$B$33,IF(AND(R$30&gt;200,R$31&gt;$B$35,R$30&lt;=250,R$31&lt;$D$35),$B$33,IF(AND(R$30&gt;250,R$31&gt;$B$36,R$30&lt;=300,R$31&lt;$D$36),$B$33,IF(AND(R$30&gt;300,R$31&gt;$B$37,R$30&lt;=350,R$31&lt;$D$37),$B$33,IF(AND(R$30&gt;350,R$31&gt;$B$38,R$30&lt;=400,R$31&lt;$D$38),$B$33,IF(AND(R$30&gt;400,R$31&gt;$B$39,R$30&lt;=450,R$31&lt;$D$39),$B$33,IF(AND(R$30&lt;=200,R$31&gt;$D$34,R$31&lt;$E$34),$D$33,IF(AND(R$30&gt;200,R$31&gt;$D$35,R$30&lt;=250,R$31&lt;$E$35),$D$33,IF(AND(R$30&gt;250,R$31&gt;$D$36,R$30&lt;=300,R$31&lt;$E$36),$D$33,IF(AND(R$30&gt;300,R$31&gt;$D$37,R$30&lt;=350,R$31&lt;$E$37),$D$33,IF(AND(R$30&gt;350,R$31&gt;$D$38,R$30&lt;=400,R$31&lt;$E$38),$D$33,IF(AND(R$30&gt;400,R$31&gt;$D$39,R$30&lt;=450,R$31&lt;$E$39),$D$33,"NON PUOI")))))))))))),"NO")</f>
        <v>NO</v>
      </c>
      <c r="S32" s="76" t="str">
        <f>IF(MODULO!$AA$62=DATI!N32,IF(AND(S$30&lt;=200,S$31&gt;$B$34,S$31&lt;$D$34),$B$33,IF(AND(S$30&gt;200,S$31&gt;$B$35,S$30&lt;=250,S$31&lt;$D$35),$B$33,IF(AND(S$30&gt;250,S$31&gt;$B$36,S$30&lt;=300,S$31&lt;$D$36),$B$33,IF(AND(S$30&gt;300,S$31&gt;$B$37,S$30&lt;=350,S$31&lt;$D$37),$B$33,IF(AND(S$30&gt;350,S$31&gt;$B$38,S$30&lt;=400,S$31&lt;$D$38),$B$33,IF(AND(S$30&gt;400,S$31&gt;$B$39,S$30&lt;=450,S$31&lt;$D$39),$B$33,IF(AND(S$30&lt;=200,S$31&gt;$D$34,S$31&lt;$E$34),$D$33,IF(AND(S$30&gt;200,S$31&gt;$D$35,S$30&lt;=250,S$31&lt;$E$35),$D$33,IF(AND(S$30&gt;250,S$31&gt;$D$36,S$30&lt;=300,S$31&lt;$E$36),$D$33,IF(AND(S$30&gt;300,S$31&gt;$D$37,S$30&lt;=350,S$31&lt;$E$37),$D$33,IF(AND(S$30&gt;350,S$31&gt;$D$38,S$30&lt;=400,S$31&lt;$E$38),$D$33,IF(AND(S$30&gt;400,S$31&gt;$D$39,S$30&lt;=450,S$31&lt;$E$39),$D$33,"NON PUOI")))))))))))),"NO")</f>
        <v>NO</v>
      </c>
      <c r="T32" s="76" t="str">
        <f>IF(MODULO!$AA$65=DATI!N32,IF(AND(T$30&lt;=200,T$31&gt;$B$34,T$31&lt;$D$34),$B$33,IF(AND(T$30&gt;200,T$31&gt;$B$35,T$30&lt;=250,T$31&lt;$D$35),$B$33,IF(AND(T$30&gt;250,T$31&gt;$B$36,T$30&lt;=300,T$31&lt;$D$36),$B$33,IF(AND(T$30&gt;300,T$31&gt;$B$37,T$30&lt;=350,T$31&lt;$D$37),$B$33,IF(AND(T$30&gt;350,T$31&gt;$B$38,T$30&lt;=400,T$31&lt;$D$38),$B$33,IF(AND(T$30&gt;400,T$31&gt;$B$39,T$30&lt;=450,T$31&lt;$D$39),$B$33,IF(AND(T$30&lt;=200,T$31&gt;$D$34,T$31&lt;$E$34),$D$33,IF(AND(T$30&gt;200,T$31&gt;$D$35,T$30&lt;=250,T$31&lt;$E$35),$D$33,IF(AND(T$30&gt;250,T$31&gt;$D$36,T$30&lt;=300,T$31&lt;$E$36),$D$33,IF(AND(T$30&gt;300,T$31&gt;$D$37,T$30&lt;=350,T$31&lt;$E$37),$D$33,IF(AND(T$30&gt;350,T$31&gt;$D$38,T$30&lt;=400,T$31&lt;$E$38),$D$33,IF(AND(T$30&gt;400,T$31&gt;$D$39,T$30&lt;=450,T$31&lt;$E$39),$D$33,"NON PUOI")))))))))))),"NO")</f>
        <v>NO</v>
      </c>
      <c r="Z32" s="50"/>
      <c r="AA32" s="40" t="s">
        <v>186</v>
      </c>
    </row>
    <row r="33" spans="1:49" ht="23.1" hidden="1" customHeight="1">
      <c r="A33" s="84" t="s">
        <v>111</v>
      </c>
      <c r="B33" s="756" t="s">
        <v>113</v>
      </c>
      <c r="C33" s="775"/>
      <c r="D33" s="756" t="s">
        <v>114</v>
      </c>
      <c r="E33" s="775"/>
      <c r="F33" s="85"/>
      <c r="G33" s="84" t="s">
        <v>111</v>
      </c>
      <c r="H33" s="756" t="s">
        <v>115</v>
      </c>
      <c r="I33" s="775"/>
      <c r="J33" s="756" t="s">
        <v>116</v>
      </c>
      <c r="K33" s="775"/>
      <c r="L33" s="756" t="s">
        <v>117</v>
      </c>
      <c r="M33" s="757"/>
      <c r="N33" s="79" t="s">
        <v>112</v>
      </c>
      <c r="O33" s="81"/>
      <c r="P33" s="76" t="str">
        <f>IF(MODULO!$AA$50=DATI!N33,IF(AND(P$30&lt;=350,P$31&gt;$H$34,P$31&lt;$J$34),$H$33,IF(AND(P$30&gt;350,P$30&lt;=400,P$31&gt;$H$35,P$31&lt;$J$35),$H$33,IF(AND(P$30&gt;400,P$30&lt;=450,P$31&gt;$H$36,P$31&lt;$J$36),$H$33,IF(AND(P$30&gt;450,P$30&lt;=500,P$31&gt;$H$37,P$31&lt;$J$37),$H$33,IF(AND(P$30&gt;500,P$30&lt;=550,P$31&gt;$H$38,P$31&lt;$J$38),$H$33,IF(AND(P$30&gt;550,P$30&lt;=600,P$31&gt;$H$39,P$31&lt;$J$39),$H$33,IF(AND(P$30&gt;600,P$30&lt;=650,P$31&gt;$H$40,P$31&lt;$J$40),$H$33,IF(AND(P$30&lt;=350,P$31&gt;$J$34,P$31&lt;$L$34),$J$33,IF(AND(P$30&gt;350,P$30&lt;=400,P$31&gt;$J$35,P$31&lt;$L$35),$J$33,IF(AND(P$30&gt;400,P$30&lt;=450,P$31&gt;$J$36,P$31&lt;$L$36),$J$33,IF(AND(P$30&gt;450,P$30&lt;=500,P$31&gt;$J$37,P$31&lt;$L$37),$J$33,IF(AND(P$30&gt;500,P$30&lt;=550,P$31&gt;$J$38,P$31&lt;$L$38),$J$33,IF(AND(P$30&gt;550,P$30&lt;=600,P$31&gt;$J$39,P$31&lt;$L$39),$J$33,IF(AND(P$30&gt;600,P$30&lt;=650,P$31&gt;$J$40,P$31&lt;$L$40),$J$33,IF(AND(P$30&lt;=350,P$31&gt;$L$34,P$31&lt;$M$34),$L$33,IF(AND(P$30&gt;350,P$30&lt;=400,P$31&gt;$L$35,P$31&lt;$M$35),$L$33,IF(AND(P$30&gt;400,P$30&lt;=450,P$31&gt;$L$36,P$31&lt;$M$36),$L$33,IF(AND(P$30&gt;450,P$30&lt;=500,P$31&gt;$L$37,P$31&lt;$M$37),$L$33,IF(AND(P$30&gt;500,P$30&lt;=550,P$31&gt;$L$38,P$31&lt;$M$38),$L$33,IF(AND(P$30&gt;550,P$30&lt;=600,P$31&gt;$L$39,P$31&lt;$M$39),$L$33,IF(AND(P$30&gt;600,P$30&lt;=650,P$31&gt;$L$40,P$31&lt;$M$40),$L$33,"NON PUOI"))))))))))))))))))))),"NO")</f>
        <v>NO</v>
      </c>
      <c r="Q33" s="76" t="str">
        <f>IF(MODULO!$AA$54=DATI!N33,IF(AND(Q$30&lt;=350,Q$31&gt;$H$34,Q$31&lt;$J$34),$H$33,IF(AND(Q$30&gt;350,Q$30&lt;=400,Q$31&gt;$H$35,Q$31&lt;$J$35),$H$33,IF(AND(Q$30&gt;400,Q$30&lt;=450,Q$31&gt;$H$36,Q$31&lt;$J$36),$H$33,IF(AND(Q$30&gt;450,Q$30&lt;=500,Q$31&gt;$H$37,Q$31&lt;$J$37),$H$33,IF(AND(Q$30&gt;500,Q$30&lt;=550,Q$31&gt;$H$38,Q$31&lt;$J$38),$H$33,IF(AND(Q$30&gt;550,Q$30&lt;=600,Q$31&gt;$H$39,Q$31&lt;$J$39),$H$33,IF(AND(Q$30&gt;600,Q$30&lt;=650,Q$31&gt;$H$40,Q$31&lt;$J$40),$H$33,IF(AND(Q$30&lt;=350,Q$31&gt;$J$34,Q$31&lt;$L$34),$J$33,IF(AND(Q$30&gt;350,Q$30&lt;=400,Q$31&gt;$J$35,Q$31&lt;$L$35),$J$33,IF(AND(Q$30&gt;400,Q$30&lt;=450,Q$31&gt;$J$36,Q$31&lt;$L$36),$J$33,IF(AND(Q$30&gt;450,Q$30&lt;=500,Q$31&gt;$J$37,Q$31&lt;$L$37),$J$33,IF(AND(Q$30&gt;500,Q$30&lt;=550,Q$31&gt;$J$38,Q$31&lt;$L$38),$J$33,IF(AND(Q$30&gt;550,Q$30&lt;=600,Q$31&gt;$J$39,Q$31&lt;$L$39),$J$33,IF(AND(Q$30&gt;600,Q$30&lt;=650,Q$31&gt;$J$40,Q$31&lt;$L$40),$J$33,IF(AND(Q$30&lt;=350,Q$31&gt;$L$34,Q$31&lt;$M$34),$L$33,IF(AND(Q$30&gt;350,Q$30&lt;=400,Q$31&gt;$L$35,Q$31&lt;$M$35),$L$33,IF(AND(Q$30&gt;400,Q$30&lt;=450,Q$31&gt;$L$36,Q$31&lt;$M$36),$L$33,IF(AND(Q$30&gt;450,Q$30&lt;=500,Q$31&gt;$L$37,Q$31&lt;$M$37),$L$33,IF(AND(Q$30&gt;500,Q$30&lt;=550,Q$31&gt;$L$38,Q$31&lt;$M$38),$L$33,IF(AND(Q$30&gt;550,Q$30&lt;=600,Q$31&gt;$L$39,Q$31&lt;$M$39),$L$33,IF(AND(Q$30&gt;600,Q$30&lt;=650,Q$31&gt;$L$40,Q$31&lt;$M$40),$L$33,"NON PUOI"))))))))))))))))))))),"NO")</f>
        <v>NO</v>
      </c>
      <c r="R33" s="76" t="str">
        <f>IF(MODULO!$AA$58=DATI!N33,IF(AND(R$30&lt;=350,R$31&gt;$H$34,R$31&lt;$J$34),$H$33,IF(AND(R$30&gt;350,R$30&lt;=400,R$31&gt;$H$35,R$31&lt;$J$35),$H$33,IF(AND(R$30&gt;400,R$30&lt;=450,R$31&gt;$H$36,R$31&lt;$J$36),$H$33,IF(AND(R$30&gt;450,R$30&lt;=500,R$31&gt;$H$37,R$31&lt;$J$37),$H$33,IF(AND(R$30&gt;500,R$30&lt;=550,R$31&gt;$H$38,R$31&lt;$J$38),$H$33,IF(AND(R$30&gt;550,R$30&lt;=600,R$31&gt;$H$39,R$31&lt;$J$39),$H$33,IF(AND(R$30&gt;600,R$30&lt;=650,R$31&gt;$H$40,R$31&lt;$J$40),$H$33,IF(AND(R$30&lt;=350,R$31&gt;$J$34,R$31&lt;$L$34),$J$33,IF(AND(R$30&gt;350,R$30&lt;=400,R$31&gt;$J$35,R$31&lt;$L$35),$J$33,IF(AND(R$30&gt;400,R$30&lt;=450,R$31&gt;$J$36,R$31&lt;$L$36),$J$33,IF(AND(R$30&gt;450,R$30&lt;=500,R$31&gt;$J$37,R$31&lt;$L$37),$J$33,IF(AND(R$30&gt;500,R$30&lt;=550,R$31&gt;$J$38,R$31&lt;$L$38),$J$33,IF(AND(R$30&gt;550,R$30&lt;=600,R$31&gt;$J$39,R$31&lt;$L$39),$J$33,IF(AND(R$30&gt;600,R$30&lt;=650,R$31&gt;$J$40,R$31&lt;$L$40),$J$33,IF(AND(R$30&lt;=350,R$31&gt;$L$34,R$31&lt;$M$34),$L$33,IF(AND(R$30&gt;350,R$30&lt;=400,R$31&gt;$L$35,R$31&lt;$M$35),$L$33,IF(AND(R$30&gt;400,R$30&lt;=450,R$31&gt;$L$36,R$31&lt;$M$36),$L$33,IF(AND(R$30&gt;450,R$30&lt;=500,R$31&gt;$L$37,R$31&lt;$M$37),$L$33,IF(AND(R$30&gt;500,R$30&lt;=550,R$31&gt;$L$38,R$31&lt;$M$38),$L$33,IF(AND(R$30&gt;550,R$30&lt;=600,R$31&gt;$L$39,R$31&lt;$M$39),$L$33,IF(AND(R$30&gt;600,R$30&lt;=650,R$31&gt;$L$40,R$31&lt;$M$40),$L$33,"NON PUOI"))))))))))))))))))))),"NO")</f>
        <v>NO</v>
      </c>
      <c r="S33" s="76" t="str">
        <f>IF(MODULO!$AA$62=DATI!N33,IF(AND(S$30&lt;=350,S$31&gt;$H$34,S$31&lt;$J$34),$H$33,IF(AND(S$30&gt;350,S$30&lt;=400,S$31&gt;$H$35,S$31&lt;$J$35),$H$33,IF(AND(S$30&gt;400,S$30&lt;=450,S$31&gt;$H$36,S$31&lt;$J$36),$H$33,IF(AND(S$30&gt;450,S$30&lt;=500,S$31&gt;$H$37,S$31&lt;$J$37),$H$33,IF(AND(S$30&gt;500,S$30&lt;=550,S$31&gt;$H$38,S$31&lt;$J$38),$H$33,IF(AND(S$30&gt;550,S$30&lt;=600,S$31&gt;$H$39,S$31&lt;$J$39),$H$33,IF(AND(S$30&gt;600,S$30&lt;=650,S$31&gt;$H$40,S$31&lt;$J$40),$H$33,IF(AND(S$30&lt;=350,S$31&gt;$J$34,S$31&lt;$L$34),$J$33,IF(AND(S$30&gt;350,S$30&lt;=400,S$31&gt;$J$35,S$31&lt;$L$35),$J$33,IF(AND(S$30&gt;400,S$30&lt;=450,S$31&gt;$J$36,S$31&lt;$L$36),$J$33,IF(AND(S$30&gt;450,S$30&lt;=500,S$31&gt;$J$37,S$31&lt;$L$37),$J$33,IF(AND(S$30&gt;500,S$30&lt;=550,S$31&gt;$J$38,S$31&lt;$L$38),$J$33,IF(AND(S$30&gt;550,S$30&lt;=600,S$31&gt;$J$39,S$31&lt;$L$39),$J$33,IF(AND(S$30&gt;600,S$30&lt;=650,S$31&gt;$J$40,S$31&lt;$L$40),$J$33,IF(AND(S$30&lt;=350,S$31&gt;$L$34,S$31&lt;$M$34),$L$33,IF(AND(S$30&gt;350,S$30&lt;=400,S$31&gt;$L$35,S$31&lt;$M$35),$L$33,IF(AND(S$30&gt;400,S$30&lt;=450,S$31&gt;$L$36,S$31&lt;$M$36),$L$33,IF(AND(S$30&gt;450,S$30&lt;=500,S$31&gt;$L$37,S$31&lt;$M$37),$L$33,IF(AND(S$30&gt;500,S$30&lt;=550,S$31&gt;$L$38,S$31&lt;$M$38),$L$33,IF(AND(S$30&gt;550,S$30&lt;=600,S$31&gt;$L$39,S$31&lt;$M$39),$L$33,IF(AND(S$30&gt;600,S$30&lt;=650,S$31&gt;$L$40,S$31&lt;$M$40),$L$33,"NON PUOI"))))))))))))))))))))),"NO")</f>
        <v>NO</v>
      </c>
      <c r="T33" s="76" t="str">
        <f>IF(MODULO!$AA$65=DATI!N33,IF(AND(T$30&lt;=350,T$31&gt;$H$34,T$31&lt;$J$34),$H$33,IF(AND(T$30&gt;350,T$30&lt;=400,T$31&gt;$H$35,T$31&lt;$J$35),$H$33,IF(AND(T$30&gt;400,T$30&lt;=450,T$31&gt;$H$36,T$31&lt;$J$36),$H$33,IF(AND(T$30&gt;450,T$30&lt;=500,T$31&gt;$H$37,T$31&lt;$J$37),$H$33,IF(AND(T$30&gt;500,T$30&lt;=550,T$31&gt;$H$38,T$31&lt;$J$38),$H$33,IF(AND(T$30&gt;550,T$30&lt;=600,T$31&gt;$H$39,T$31&lt;$J$39),$H$33,IF(AND(T$30&gt;600,T$30&lt;=650,T$31&gt;$H$40,T$31&lt;$J$40),$H$33,IF(AND(T$30&lt;=350,T$31&gt;$J$34,T$31&lt;$L$34),$J$33,IF(AND(T$30&gt;350,T$30&lt;=400,T$31&gt;$J$35,T$31&lt;$L$35),$J$33,IF(AND(T$30&gt;400,T$30&lt;=450,T$31&gt;$J$36,T$31&lt;$L$36),$J$33,IF(AND(T$30&gt;450,T$30&lt;=500,T$31&gt;$J$37,T$31&lt;$L$37),$J$33,IF(AND(T$30&gt;500,T$30&lt;=550,T$31&gt;$J$38,T$31&lt;$L$38),$J$33,IF(AND(T$30&gt;550,T$30&lt;=600,T$31&gt;$J$39,T$31&lt;$L$39),$J$33,IF(AND(T$30&gt;600,T$30&lt;=650,T$31&gt;$J$40,T$31&lt;$L$40),$J$33,IF(AND(T$30&lt;=350,T$31&gt;$L$34,T$31&lt;$M$34),$L$33,IF(AND(T$30&gt;350,T$30&lt;=400,T$31&gt;$L$35,T$31&lt;$M$35),$L$33,IF(AND(T$30&gt;400,T$30&lt;=450,T$31&gt;$L$36,T$31&lt;$M$36),$L$33,IF(AND(T$30&gt;450,T$30&lt;=500,T$31&gt;$L$37,T$31&lt;$M$37),$L$33,IF(AND(T$30&gt;500,T$30&lt;=550,T$31&gt;$L$38,T$31&lt;$M$38),$L$33,IF(AND(T$30&gt;550,T$30&lt;=600,T$31&gt;$L$39,T$31&lt;$M$39),$L$33,IF(AND(T$30&gt;600,T$30&lt;=650,T$31&gt;$L$40,T$31&lt;$M$40),$L$33,"NON PUOI"))))))))))))))))))))),"NO")</f>
        <v>NO</v>
      </c>
      <c r="Z33" s="50"/>
      <c r="AA33" s="40"/>
    </row>
    <row r="34" spans="1:49" ht="23.1" hidden="1" customHeight="1">
      <c r="A34" s="86">
        <v>200</v>
      </c>
      <c r="B34" s="67">
        <v>3.79</v>
      </c>
      <c r="C34" s="68">
        <v>7.9</v>
      </c>
      <c r="D34" s="67">
        <v>6.8</v>
      </c>
      <c r="E34" s="68">
        <v>14.7</v>
      </c>
      <c r="F34" s="85"/>
      <c r="G34" s="86">
        <v>350</v>
      </c>
      <c r="H34" s="67">
        <v>5.2</v>
      </c>
      <c r="I34" s="68">
        <v>11</v>
      </c>
      <c r="J34" s="67">
        <v>10.1</v>
      </c>
      <c r="K34" s="68">
        <v>21.4</v>
      </c>
      <c r="L34" s="67">
        <v>19.5</v>
      </c>
      <c r="M34" s="140">
        <v>27.3</v>
      </c>
      <c r="N34" s="79" t="s">
        <v>120</v>
      </c>
      <c r="O34" s="81"/>
      <c r="P34" s="76" t="str">
        <f>IF(AND(MODULO!$AA$50=DATI!$N$34,MODULO!$D$49&gt;353,MODULO!$D$49&lt;395),DATI!$B$44,IF(AND(MODULO!$AA$50=DATI!$N$34,MODULO!$D$49&gt;395,MODULO!$D$49&lt;421),DATI!$D$44,"NON PUOI"))</f>
        <v>NON PUOI</v>
      </c>
      <c r="Q34" s="76" t="str">
        <f>IF(AND(MODULO!$AA$54=DATI!$N$34,MODULO!$D$53&gt;353,MODULO!$D$53&lt;395),DATI!$B$44,IF(AND(MODULO!$AA$54=DATI!$N$34,MODULO!D53&gt;395,MODULO!$D$53&lt;421),DATI!$D$44,"NON PUOI"))</f>
        <v>NON PUOI</v>
      </c>
      <c r="R34" s="76" t="str">
        <f>IF(AND(MODULO!$AA$58=DATI!$N$34,MODULO!$D$57&gt;353,MODULO!$D$57&lt;395),DATI!$B$44,IF(AND(MODULO!$AA$58=DATI!$N$34,MODULO!$D$57&gt;395,MODULO!$D$57&lt;421),DATI!$D$44,"NON PUOI"))</f>
        <v>NON PUOI</v>
      </c>
      <c r="S34" s="76" t="str">
        <f>IF(AND(MODULO!$AA$62=DATI!$N$34,MODULO!$D$61&gt;353,MODULO!$D$61&lt;395),DATI!$B$44,IF(AND(MODULO!$AA$62=DATI!$N$34,MODULO!$D$61&gt;395,MODULO!$D$61&lt;421),DATI!$D$44,"NON PUOI"))</f>
        <v>NON PUOI</v>
      </c>
      <c r="T34" s="76" t="str">
        <f>IF(AND(MODULO!$AA$65=DATI!$N$34,MODULO!$D$65&gt;353,MODULO!$D$65&lt;395),DATI!$B$44,IF(AND(MODULO!$AA$65=DATI!$N$34,MODULO!$D$65&gt;395,MODULO!$D$65&lt;421),DATI!$D$44,"NON PUOI"))</f>
        <v>NON PUOI</v>
      </c>
      <c r="AA34" s="40" t="s">
        <v>269</v>
      </c>
    </row>
    <row r="35" spans="1:49" ht="23.1" hidden="1" customHeight="1">
      <c r="A35" s="86">
        <v>250</v>
      </c>
      <c r="B35" s="67">
        <v>2.9</v>
      </c>
      <c r="C35" s="68">
        <v>6.4</v>
      </c>
      <c r="D35" s="67">
        <v>5.4</v>
      </c>
      <c r="E35" s="68">
        <v>11.8</v>
      </c>
      <c r="F35" s="85"/>
      <c r="G35" s="86">
        <v>400</v>
      </c>
      <c r="H35" s="67">
        <v>4.7</v>
      </c>
      <c r="I35" s="68">
        <v>9.6</v>
      </c>
      <c r="J35" s="67">
        <v>8.9</v>
      </c>
      <c r="K35" s="68">
        <v>18.600000000000001</v>
      </c>
      <c r="L35" s="67">
        <v>17</v>
      </c>
      <c r="M35" s="140">
        <v>23.3</v>
      </c>
      <c r="N35" s="79" t="s">
        <v>122</v>
      </c>
      <c r="O35" s="81"/>
      <c r="P35" s="76" t="str">
        <f>IF(MODULO!$AA$50=DATI!N35,IF(AND(P$30&lt;=670,P$31&gt;H45,P$31&lt;J45),$H$44,IF(AND(P$30&gt;670,P$30&lt;=700,P$31&gt;H46,P$31&lt;J46),$H$44,IF(AND(P$30&gt;700,P$30&lt;=750,P$31&gt;H47,P$31&lt;J47),$H$44,IF(AND(P$30&gt;750,P$30&lt;=800,P$31&gt;H48,P$31&lt;J48),$H$44,IF(MODULO!$AA$50=DATI!N35,IF(AND(P$30&lt;=670,P$31&gt;J45,P$31&lt;K45),J44,IF(AND(P$30&gt;670,P$30&lt;=700,P$31&gt;J46,P$31&lt;K46),J44,IF(AND(P$30&gt;700,P$30&lt;=750,P$31&gt;J47,P$31&lt;K47),J44,IF(AND(P$30&gt;750,P$30&lt;=800,P$31&gt;J48,P$31&lt;K48),J44,"NON PUOI"))))))))),"NO")</f>
        <v>NO</v>
      </c>
      <c r="Q35" s="76" t="str">
        <f>IF(MODULO!$AA$54=DATI!N35,IF(AND(Q$30&lt;=670,Q$31&gt;H45,Q$31&lt;J45),$H$44,IF(AND(Q$30&gt;670,Q$30&lt;=700,Q$31&gt;H46,Q$31&lt;J46),$H$44,IF(AND(Q$30&gt;700,Q$30&lt;=750,Q$31&gt;H47,Q$31&lt;J47),$H$44,IF(AND(Q$30&gt;750,Q$30&lt;=800,Q$31&gt;H48,Q$31&lt;J48),$H$44,IF(MODULO!$AA$54=DATI!N35,IF(AND(Q$30&lt;=670,Q$31&gt;J45,Q$31&lt;K45),J44,IF(AND(Q$30&gt;670,Q$30&lt;=700,Q$31&gt;J46,Q$31&lt;K46),J44,IF(AND(Q$30&gt;700,Q$30&lt;=750,Q$31&gt;J47,Q$31&lt;K47),J44,IF(AND(Q$30&gt;750,Q$30&lt;=800,Q$31&gt;J48,Q$31&lt;K48),J44,"NON PUOI"))))))))),"NO")</f>
        <v>NO</v>
      </c>
      <c r="R35" s="76" t="str">
        <f>IF(MODULO!$AA$58=DATI!N35,IF(AND(R$30&lt;=670,R$31&gt;H45,R$31&lt;J45),$H$44,IF(AND(R$30&gt;670,R$30&lt;=700,R$31&gt;H46,R$31&lt;J46),$H$44,IF(AND(R$30&gt;700,R$30&lt;=750,R$31&gt;H47,R$31&lt;J47),$H$44,IF(AND(R$30&gt;750,R$30&lt;=800,R$31&gt;H48,R$31&lt;J48),$H$44,IF(MODULO!$AA$58=DATI!N35,IF(AND(R$30&lt;=670,R$31&gt;J45,R$31&lt;K45),J44,IF(AND(R$30&gt;670,R$30&lt;=700,R$31&gt;J46,R$31&lt;K46),J44,IF(AND(R$30&gt;700,R$30&lt;=750,R$31&gt;J47,R$31&lt;K47),J44,IF(AND(R$30&gt;750,R$30&lt;=800,R$31&gt;J48,R$31&lt;K48),J44,"NON PUOI"))))))))),"NO")</f>
        <v>NO</v>
      </c>
      <c r="S35" s="76" t="str">
        <f>IF(MODULO!$AA$62=DATI!N35,IF(AND(S$30&lt;=670,S$31&gt;H45,S$31&lt;J45),$H$44,IF(AND(S$30&gt;670,S$30&lt;=700,S$31&gt;H46,S$31&lt;J46),$H$44,IF(AND(S$30&gt;700,S$30&lt;=750,S$31&gt;H47,S$31&lt;J47),$H$44,IF(AND(S$30&gt;750,S$30&lt;=800,S$31&gt;H48,S$31&lt;J48),$H$44,IF(MODULO!$AA$62=DATI!N35,IF(AND(S$30&lt;=670,S$31&gt;J45,S$31&lt;K45),J44,IF(AND(S$30&gt;670,S$30&lt;=700,S$31&gt;J46,S$31&lt;K46),J44,IF(AND(S$30&gt;700,S$30&lt;=750,S$31&gt;J47,S$31&lt;K47),J44,IF(AND(S$30&gt;750,S$30&lt;=800,S$31&gt;J48,S$31&lt;K48),J44,"NON PUOI"))))))))),"NO")</f>
        <v>NO</v>
      </c>
      <c r="T35" s="76" t="str">
        <f>IF(MODULO!$AA$65=DATI!N35,IF(AND(T$30&lt;=670,T$31&gt;H45,T$31&lt;J45),$H$44,IF(AND(T$30&gt;670,T$30&lt;=700,T$31&gt;H46,T$31&lt;J46),$H$44,IF(AND(T$30&gt;700,T$30&lt;=750,T$31&gt;H47,T$31&lt;J47),$H$44,IF(AND(T$30&gt;750,T$30&lt;=800,T$31&gt;H48,T$31&lt;J48),$H$44,IF(MODULO!$AA$65=DATI!N35,IF(AND(T$30&lt;=670,T$31&gt;J45,T$31&lt;K45),J44,IF(AND(T$30&gt;670,T$30&lt;=700,T$31&gt;J46,T$31&lt;K46),J44,IF(AND(T$30&gt;700,T$30&lt;=750,T$31&gt;J47,T$31&lt;K47),J44,IF(AND(T$30&gt;750,T$30&lt;=800,T$31&gt;J48,T$31&lt;K48),J44,"NON PUOI"))))))))),"NO")</f>
        <v>NO</v>
      </c>
      <c r="AA35" s="40" t="s">
        <v>265</v>
      </c>
    </row>
    <row r="36" spans="1:49" ht="23.1" hidden="1" customHeight="1">
      <c r="A36" s="86">
        <v>300</v>
      </c>
      <c r="B36" s="67">
        <v>2.4</v>
      </c>
      <c r="C36" s="68">
        <v>5.0999999999999996</v>
      </c>
      <c r="D36" s="67">
        <v>4.4000000000000004</v>
      </c>
      <c r="E36" s="68">
        <v>9.6</v>
      </c>
      <c r="F36" s="85"/>
      <c r="G36" s="86">
        <v>450</v>
      </c>
      <c r="H36" s="67">
        <v>4.0999999999999996</v>
      </c>
      <c r="I36" s="68">
        <v>8.4</v>
      </c>
      <c r="J36" s="67">
        <v>7.8</v>
      </c>
      <c r="K36" s="68">
        <v>16.3</v>
      </c>
      <c r="L36" s="67">
        <v>16</v>
      </c>
      <c r="M36" s="140">
        <v>20.5</v>
      </c>
      <c r="N36" s="79" t="s">
        <v>123</v>
      </c>
      <c r="O36" s="81"/>
      <c r="P36" s="76" t="str">
        <f>IF(MODULO!$AA$50=$N$36,IF(AND(P$30&gt;=345,P$30&lt;430,P$31&gt;$N$45,P$31&lt;$O$45),$N$44,IF(AND(P$30&gt;=430,P$30&lt;=600,P$31&gt;$P$46,P$31&lt;$Q$46),$P$44,"NON PUOI")),"NO")</f>
        <v>NO</v>
      </c>
      <c r="Q36" s="76" t="str">
        <f>IF(MODULO!$AA$54=$N$36,IF(AND(Q$30&gt;=345,Q$30&lt;430,Q$31&gt;$N$45,Q$31&lt;$O$45),$N$44,IF(AND(Q$30&gt;=430,Q$30&lt;=600,Q$31&gt;$P$46,Q$31&lt;$Q$46),$P$44,"NON PUOI")),"NO")</f>
        <v>NO</v>
      </c>
      <c r="R36" s="76" t="str">
        <f>IF(MODULO!$AA$58=$N$36,IF(AND(R$30&gt;=345,R$30&lt;430,R$31&gt;$N$45,R$31&lt;$O$45),$N$44,IF(AND(R$30&gt;=430,R$30&lt;=600,R$31&gt;$P$46,R$31&lt;$Q$46),$P$44,"NON PUOI")),"NO")</f>
        <v>NO</v>
      </c>
      <c r="S36" s="76" t="str">
        <f>IF(MODULO!$AA$62=$N$36,IF(AND(S$30&gt;=345,S$30&lt;430,S$31&gt;$N$45,S$31&lt;$O$45),$N$44,IF(AND(S$30&gt;=430,S$30&lt;=600,S$31&gt;$P$46,S$31&lt;$Q$46),$P$44,"NON PUOI")),"NO")</f>
        <v>NO</v>
      </c>
      <c r="T36" s="76" t="str">
        <f>IF(MODULO!$AA$65=$N$36,IF(AND(T$30&gt;=345,T$30&lt;430,T$31&gt;$N$45,T$31&lt;$O$45),$N$44,IF(AND(T$30&gt;=430,T$30&lt;=600,T$31&gt;$P$46,T$31&lt;$Q$46),$P$44,"NON PUOI")),"NO")</f>
        <v>NO</v>
      </c>
      <c r="AA36" s="165" t="s">
        <v>192</v>
      </c>
      <c r="AB36" s="40" t="s">
        <v>188</v>
      </c>
      <c r="AC36" s="40" t="s">
        <v>193</v>
      </c>
      <c r="AD36" s="40" t="s">
        <v>194</v>
      </c>
      <c r="AE36" s="40" t="s">
        <v>210</v>
      </c>
    </row>
    <row r="37" spans="1:49" ht="23.1" hidden="1" customHeight="1">
      <c r="A37" s="86">
        <v>350</v>
      </c>
      <c r="B37" s="67">
        <v>2</v>
      </c>
      <c r="C37" s="68">
        <v>4.2</v>
      </c>
      <c r="D37" s="67">
        <v>3.7</v>
      </c>
      <c r="E37" s="68">
        <v>8.1</v>
      </c>
      <c r="F37" s="85"/>
      <c r="G37" s="86">
        <v>500</v>
      </c>
      <c r="H37" s="67">
        <v>3.7</v>
      </c>
      <c r="I37" s="68">
        <v>7.5</v>
      </c>
      <c r="J37" s="67">
        <v>7</v>
      </c>
      <c r="K37" s="68">
        <v>14.6</v>
      </c>
      <c r="L37" s="67">
        <v>13.5</v>
      </c>
      <c r="M37" s="140">
        <v>18.3</v>
      </c>
      <c r="N37" s="79" t="s">
        <v>154</v>
      </c>
      <c r="O37" s="81"/>
      <c r="P37" s="76" t="str">
        <f>IF(MODULO!$AA$50=DATI!$N$37,IF(AND(P$30&lt;=225,P$31&gt;$T$45,P$31&lt;$U$45),$T$44,IF(AND(P$30&gt;225,P$30&lt;=300,P$31&gt;$T$46,P$31&lt;U46),$T$44,IF(AND(P$30&gt;300,P$30&lt;=350,P$31&gt;$T$47,P$31&lt;$U$47),$T$44,IF(AND(P$30&gt;350,P$30&lt;=400,P$31&gt;$T$48,P$31&lt;$U$48),$T$44,IF(AND(P$30&gt;400,P$30&lt;=450,P$31&gt;$T$49,P$31&lt;$U$49),$T$44,IF(AND(P$30&gt;450,P$30&lt;=500,P$31&gt;$T$50,P$31&lt;$U$50),$T$44,IF(AND(P$30&gt;500,P$30&lt;=550,P$31&gt;$T$51,P$31&lt;$U$51),$T$44,IF(AND(P$30&gt;550,P$30&lt;=600,P$31&gt;$T$52,P$31&lt;$U$52),$T$44,IF(AND(P$30&gt;600,P$30&lt;=650,P$31&gt;$T$53,P$31&lt;$U$53),$T$44,IF(MODULO!$AA$50=DATI!$N$37,IF(AND(P$30&lt;=225,P$31&gt;$U$45,P$31&lt;$V$45),$U$44,IF(AND(P$30&gt;225,P$30&lt;=300,P$31&gt;$U$46,P$31&lt;$V$46),$U$44,IF(AND(P$30&gt;300,P$30&lt;=350,P$31&gt;$U$47,P$31&lt;$V$47),$U$44,IF(AND(P$30&gt;350,P$30&lt;=400,P$31&gt;$U$48,P$31&lt;$V$48),$U$44,IF(AND(P$30&gt;400,P$30&lt;=450,P$31&gt;$U$49,P$31&lt;$V$49),$U$44,IF(AND(P$30&gt;450,P$30&lt;=500,P$31&gt;$U$50,P$31&lt;$V$50),$U$44,IF(AND(P$30&gt;500,P$30&lt;=550,P$31&gt;$U$51,P$31&lt;$V$51),$U$44,IF(AND(P$30&gt;550,P$30&lt;=600,P$31&gt;$U$52,P$31&lt;$V$52),$U$44,IF(AND(P$30&gt;600,P$30&lt;=650,P$31&gt;$U$53,P$31&lt;$V$53),$U$44,IF(MODULO!$AA$50=DATI!$N$37,IF(AND(P$30&lt;=225,P$31&gt;$V$45,P$31&lt;$W$45),$V$44,IF(AND(P$30&gt;225,P$30&lt;=300,P$31&gt;$V$46,P$31&lt;$W$46),$V$44,IF(AND(P$30&gt;300,P$30&lt;=350,P$31&gt;$V$47,P$31&lt;$W$47),$V$44,IF(AND(P$30&gt;350,P$30&lt;=400,P$31&gt;$V$48,P$31&lt;$W$48),$V$44,IF(AND(P$30&gt;400,P$30&lt;=450,P$31&gt;$V$49,P$31&lt;$W$49),$V$44,IF(AND(P$30&gt;450,P$30&lt;=500,P$31&gt;$V$50,P$31&lt;$W$50),$V$44,IF(AND(P$30&gt;500,P$30&lt;=550,P$31&gt;$V$51,P$31&lt;$W$51),$V$44,IF(AND(P$30&gt;550,P$30&lt;=600,P$31&gt;$V$52,P$31&lt;$W$52),$V$44,IF(AND(P$30&gt;600,P$30&lt;=650,P$31&gt;$V$53,P$31&lt;$W$53),$V$44,IF(MODULO!$AA$50=DATI!$N$37,IF(AND(P$30&lt;=225,P$31&gt;$W$45,P$31&lt;$X$45),$W$44,IF(AND(P$30&gt;225,P$30&lt;=300,P$31&gt;$W$46,P$31&lt;$X$46),$W$44,IF(AND(P$30&gt;300,P$30&lt;=350,P$31&gt;$W$47,P$31&lt;$X$47),$W$44,IF(AND(P$30&gt;350,P$30&lt;=400,P$31&gt;$W$48,P$31&lt;$X$48),$W$44,IF(AND(P$30&gt;400,P$30&lt;=450,P$31&gt;$W$49,P$31&lt;$X$49),$W$44,IF(AND(P$30&gt;450,P$30&lt;=500,P$31&gt;$W$50,P$31&lt;$X$50),$W$44,IF(AND(P$30&gt;500,P$30&lt;=550,P$31&gt;$W$51,P$31&lt;$X$51),$W$44,IF(AND(P$30&gt;550,P$30&lt;=600,P$31&gt;$W$52,P$31&lt;$X$52),$W$44,IF(AND(P$30&gt;600,P$30&lt;=650,P$31&gt;$W$53,P$31&lt;$X$53),$W$44,"NON PUOI"))))))))))))))))))))))))))))))))))))))),"NO")</f>
        <v>NO</v>
      </c>
      <c r="Q37" s="76" t="str">
        <f>IF(MODULO!$AA$54=DATI!$N$37,IF(AND(Q$30&lt;=225,Q$31&gt;$T$45,Q$31&lt;$U$45),$T$44,IF(AND(Q$30&gt;225,Q$30&lt;=300,Q$31&gt;$T$46,Q$31&lt;V46),$T$44,IF(AND(Q$30&gt;300,Q$30&lt;=350,Q$31&gt;$T$47,Q$31&lt;$U$47),$T$44,IF(AND(Q$30&gt;350,Q$30&lt;=400,Q$31&gt;$T$48,Q$31&lt;$U$48),$T$44,IF(AND(Q$30&gt;400,Q$30&lt;=450,Q$31&gt;$T$49,Q$31&lt;$U$49),$T$44,IF(AND(Q$30&gt;450,Q$30&lt;=500,Q$31&gt;$T$50,Q$31&lt;$U$50),$T$44,IF(AND(Q$30&gt;500,Q$30&lt;=550,Q$31&gt;$T$51,Q$31&lt;$U$51),$T$44,IF(AND(Q$30&gt;550,Q$30&lt;=600,Q$31&gt;$T$52,Q$31&lt;$U$52),$T$44,IF(AND(Q$30&gt;600,Q$30&lt;=650,Q$31&gt;$T$53,Q$31&lt;$U$53),$T$44,IF(MODULO!$AA$54=DATI!$N$37,IF(AND(Q$30&lt;=225,Q$31&gt;$U$45,Q$31&lt;$V$45),$U$44,IF(AND(Q$30&gt;225,Q$30&lt;=300,Q$31&gt;$U$46,Q$31&lt;$V$46),$U$44,IF(AND(Q$30&gt;300,Q$30&lt;=350,Q$31&gt;$U$47,Q$31&lt;$V$47),$U$44,IF(AND(Q$30&gt;350,Q$30&lt;=400,Q$31&gt;$U$48,Q$31&lt;$V$48),$U$44,IF(AND(Q$30&gt;400,Q$30&lt;=450,Q$31&gt;$U$49,Q$31&lt;$V$49),$U$44,IF(AND(Q$30&gt;450,Q$30&lt;=500,Q$31&gt;$U$50,Q$31&lt;$V$50),$U$44,IF(AND(Q$30&gt;500,Q$30&lt;=550,Q$31&gt;$U$51,Q$31&lt;$V$51),$U$44,IF(AND(Q$30&gt;550,Q$30&lt;=600,Q$31&gt;$U$52,Q$31&lt;$V$52),$U$44,IF(AND(Q$30&gt;600,Q$30&lt;=650,Q$31&gt;$U$53,Q$31&lt;$V$53),$U$44,IF(MODULO!$AA$54=DATI!$N$37,IF(AND(Q$30&lt;=225,Q$31&gt;$V$45,Q$31&lt;$W$45),$V$44,IF(AND(Q$30&gt;225,Q$30&lt;=300,Q$31&gt;$V$46,Q$31&lt;$W$46),$V$44,IF(AND(Q$30&gt;300,Q$30&lt;=350,Q$31&gt;$V$47,Q$31&lt;$W$47),$V$44,IF(AND(Q$30&gt;350,Q$30&lt;=400,Q$31&gt;$V$48,Q$31&lt;$W$48),$V$44,IF(AND(Q$30&gt;400,Q$30&lt;=450,Q$31&gt;$V$49,Q$31&lt;$W$49),$V$44,IF(AND(Q$30&gt;450,Q$30&lt;=500,Q$31&gt;$V$50,Q$31&lt;$W$50),$V$44,IF(AND(Q$30&gt;500,Q$30&lt;=550,Q$31&gt;$V$51,Q$31&lt;$W$51),$V$44,IF(AND(Q$30&gt;550,Q$30&lt;=600,Q$31&gt;$V$52,Q$31&lt;$W$52),$V$44,IF(AND(Q$30&gt;600,Q$30&lt;=650,Q$31&gt;$V$53,Q$31&lt;$W$53),$V$44,IF(MODULO!$AA$54=DATI!$N$37,IF(AND(Q$30&lt;=225,Q$31&gt;$W$45,Q$31&lt;$X$45),$W$44,IF(AND(Q$30&gt;225,Q$30&lt;=300,Q$31&gt;$W$46,Q$31&lt;$X$46),$W$44,IF(AND(Q$30&gt;300,Q$30&lt;=350,Q$31&gt;$W$47,Q$31&lt;$X$47),$W$44,IF(AND(Q$30&gt;350,Q$30&lt;=400,Q$31&gt;$W$48,Q$31&lt;$X$48),$W$44,IF(AND(Q$30&gt;400,Q$30&lt;=450,Q$31&gt;$W$49,Q$31&lt;$X$49),$W$44,IF(AND(Q$30&gt;450,Q$30&lt;=500,Q$31&gt;$W$50,Q$31&lt;$X$50),$W$44,IF(AND(Q$30&gt;500,Q$30&lt;=550,Q$31&gt;$W$51,Q$31&lt;$X$51),$W$44,IF(AND(Q$30&gt;550,Q$30&lt;=600,Q$31&gt;$W$52,Q$31&lt;$X$52),$W$44,IF(AND(Q$30&gt;600,Q$30&lt;=650,Q$31&gt;$W$53,Q$31&lt;$X$53),$W$44,"NON PUOI"))))))))))))))))))))))))))))))))))))))),"NO")</f>
        <v>NO</v>
      </c>
      <c r="R37" s="76" t="str">
        <f>IF(MODULO!$AA$58=DATI!$N$37,IF(AND(R$30&lt;=225,R$31&gt;$T$45,R$31&lt;$U$45),$T$44,IF(AND(R$30&gt;225,R$30&lt;=300,R$31&gt;$T$46,R$31&lt;W46),$T$44,IF(AND(R$30&gt;300,R$30&lt;=350,R$31&gt;$T$47,R$31&lt;$U$47),$T$44,IF(AND(R$30&gt;350,R$30&lt;=400,R$31&gt;$T$48,R$31&lt;$U$48),$T$44,IF(AND(R$30&gt;400,R$30&lt;=450,R$31&gt;$T$49,R$31&lt;$U$49),$T$44,IF(AND(R$30&gt;450,R$30&lt;=500,R$31&gt;$T$50,R$31&lt;$U$50),$T$44,IF(AND(R$30&gt;500,R$30&lt;=550,R$31&gt;$T$51,R$31&lt;$U$51),$T$44,IF(AND(R$30&gt;550,R$30&lt;=600,R$31&gt;$T$52,R$31&lt;$U$52),$T$44,IF(AND(R$30&gt;600,R$30&lt;=650,R$31&gt;$T$53,R$31&lt;$U$53),$T$44,IF(MODULO!$AA$58=DATI!$N$37,IF(AND(R$30&lt;=225,R$31&gt;$U$45,R$31&lt;$V$45),$U$44,IF(AND(R$30&gt;225,R$30&lt;=300,R$31&gt;$U$46,R$31&lt;$V$46),$U$44,IF(AND(R$30&gt;300,R$30&lt;=350,R$31&gt;$U$47,R$31&lt;$V$47),$U$44,IF(AND(R$30&gt;350,R$30&lt;=400,R$31&gt;$U$48,R$31&lt;$V$48),$U$44,IF(AND(R$30&gt;400,R$30&lt;=450,R$31&gt;$U$49,R$31&lt;$V$49),$U$44,IF(AND(R$30&gt;450,R$30&lt;=500,R$31&gt;$U$50,R$31&lt;$V$50),$U$44,IF(AND(R$30&gt;500,R$30&lt;=550,R$31&gt;$U$51,R$31&lt;$V$51),$U$44,IF(AND(R$30&gt;550,R$30&lt;=600,R$31&gt;$U$52,R$31&lt;$V$52),$U$44,IF(AND(R$30&gt;600,R$30&lt;=650,R$31&gt;$U$53,R$31&lt;$V$53),$U$44,IF(MODULO!$AA$58=DATI!$N$37,IF(AND(R$30&lt;=225,R$31&gt;$V$45,R$31&lt;$W$45),$V$44,IF(AND(R$30&gt;225,R$30&lt;=300,R$31&gt;$V$46,R$31&lt;$W$46),$V$44,IF(AND(R$30&gt;300,R$30&lt;=350,R$31&gt;$V$47,R$31&lt;$W$47),$V$44,IF(AND(R$30&gt;350,R$30&lt;=400,R$31&gt;$V$48,R$31&lt;$W$48),$V$44,IF(AND(R$30&gt;400,R$30&lt;=450,R$31&gt;$V$49,R$31&lt;$W$49),$V$44,IF(AND(R$30&gt;450,R$30&lt;=500,R$31&gt;$V$50,R$31&lt;$W$50),$V$44,IF(AND(R$30&gt;500,R$30&lt;=550,R$31&gt;$V$51,R$31&lt;$W$51),$V$44,IF(AND(R$30&gt;550,R$30&lt;=600,R$31&gt;$V$52,R$31&lt;$W$52),$V$44,IF(AND(R$30&gt;600,R$30&lt;=650,R$31&gt;$V$53,R$31&lt;$W$53),$V$44,IF(MODULO!$AA$58=DATI!$N$37,IF(AND(R$30&lt;=225,R$31&gt;$W$45,R$31&lt;$X$45),$W$44,IF(AND(R$30&gt;225,R$30&lt;=300,R$31&gt;$W$46,R$31&lt;$X$46),$W$44,IF(AND(R$30&gt;300,R$30&lt;=350,R$31&gt;$W$47,R$31&lt;$X$47),$W$44,IF(AND(R$30&gt;350,R$30&lt;=400,R$31&gt;$W$48,R$31&lt;$X$48),$W$44,IF(AND(R$30&gt;400,R$30&lt;=450,R$31&gt;$W$49,R$31&lt;$X$49),$W$44,IF(AND(R$30&gt;450,R$30&lt;=500,R$31&gt;$W$50,R$31&lt;$X$50),$W$44,IF(AND(R$30&gt;500,R$30&lt;=550,R$31&gt;$W$51,R$31&lt;$X$51),$W$44,IF(AND(R$30&gt;550,R$30&lt;=600,R$31&gt;$W$52,R$31&lt;$X$52),$W$44,IF(AND(R$30&gt;600,R$30&lt;=650,R$31&gt;$W$53,R$31&lt;$X$53),$W$44,"NON PUOI"))))))))))))))))))))))))))))))))))))))),"NO")</f>
        <v>NO</v>
      </c>
      <c r="S37" s="76" t="str">
        <f>IF(MODULO!$AA$62=DATI!$N$37,IF(AND(S$30&lt;=225,S$31&gt;$T$45,S$31&lt;$U$45),$T$44,IF(AND(S$30&gt;225,S$30&lt;=300,S$31&gt;$T$46,S$31&lt;X46),$T$44,IF(AND(S$30&gt;300,S$30&lt;=350,S$31&gt;$T$47,S$31&lt;$U$47),$T$44,IF(AND(S$30&gt;350,S$30&lt;=400,S$31&gt;$T$48,S$31&lt;$U$48),$T$44,IF(AND(S$30&gt;400,S$30&lt;=450,S$31&gt;$T$49,S$31&lt;$U$49),$T$44,IF(AND(S$30&gt;450,S$30&lt;=500,S$31&gt;$T$50,S$31&lt;$U$50),$T$44,IF(AND(S$30&gt;500,S$30&lt;=550,S$31&gt;$T$51,S$31&lt;$U$51),$T$44,IF(AND(S$30&gt;550,S$30&lt;=600,S$31&gt;$T$52,S$31&lt;$U$52),$T$44,IF(AND(S$30&gt;600,S$30&lt;=650,S$31&gt;$T$53,S$31&lt;$U$53),$T$44,IF(MODULO!$AA$62=DATI!$N$37,IF(AND(S$30&lt;=225,S$31&gt;$U$45,S$31&lt;$V$45),$U$44,IF(AND(S$30&gt;225,S$30&lt;=300,S$31&gt;$U$46,S$31&lt;$V$46),$U$44,IF(AND(S$30&gt;300,S$30&lt;=350,S$31&gt;$U$47,S$31&lt;$V$47),$U$44,IF(AND(S$30&gt;350,S$30&lt;=400,S$31&gt;$U$48,S$31&lt;$V$48),$U$44,IF(AND(S$30&gt;400,S$30&lt;=450,S$31&gt;$U$49,S$31&lt;$V$49),$U$44,IF(AND(S$30&gt;450,S$30&lt;=500,S$31&gt;$U$50,S$31&lt;$V$50),$U$44,IF(AND(S$30&gt;500,S$30&lt;=550,S$31&gt;$U$51,S$31&lt;$V$51),$U$44,IF(AND(S$30&gt;550,S$30&lt;=600,S$31&gt;$U$52,S$31&lt;$V$52),$U$44,IF(AND(S$30&gt;600,S$30&lt;=650,S$31&gt;$U$53,S$31&lt;$V$53),$U$44,IF(MODULO!$AA$62=DATI!$N$37,IF(AND(S$30&lt;=225,S$31&gt;$V$45,S$31&lt;$W$45),$V$44,IF(AND(S$30&gt;225,S$30&lt;=300,S$31&gt;$V$46,S$31&lt;$W$46),$V$44,IF(AND(S$30&gt;300,S$30&lt;=350,S$31&gt;$V$47,S$31&lt;$W$47),$V$44,IF(AND(S$30&gt;350,S$30&lt;=400,S$31&gt;$V$48,S$31&lt;$W$48),$V$44,IF(AND(S$30&gt;400,S$30&lt;=450,S$31&gt;$V$49,S$31&lt;$W$49),$V$44,IF(AND(S$30&gt;450,S$30&lt;=500,S$31&gt;$V$50,S$31&lt;$W$50),$V$44,IF(AND(S$30&gt;500,S$30&lt;=550,S$31&gt;$V$51,S$31&lt;$W$51),$V$44,IF(AND(S$30&gt;550,S$30&lt;=600,S$31&gt;$V$52,S$31&lt;$W$52),$V$44,IF(AND(S$30&gt;600,S$30&lt;=650,S$31&gt;$V$53,S$31&lt;$W$53),$V$44,IF(MODULO!$AA$62=DATI!$N$37,IF(AND(S$30&lt;=225,S$31&gt;$W$45,S$31&lt;$X$45),$W$44,IF(AND(S$30&gt;225,S$30&lt;=300,S$31&gt;$W$46,S$31&lt;$X$46),$W$44,IF(AND(S$30&gt;300,S$30&lt;=350,S$31&gt;$W$47,S$31&lt;$X$47),$W$44,IF(AND(S$30&gt;350,S$30&lt;=400,S$31&gt;$W$48,S$31&lt;$X$48),$W$44,IF(AND(S$30&gt;400,S$30&lt;=450,S$31&gt;$W$49,S$31&lt;$X$49),$W$44,IF(AND(S$30&gt;450,S$30&lt;=500,S$31&gt;$W$50,S$31&lt;$X$50),$W$44,IF(AND(S$30&gt;500,S$30&lt;=550,S$31&gt;$W$51,S$31&lt;$X$51),$W$44,IF(AND(S$30&gt;550,S$30&lt;=600,S$31&gt;$W$52,S$31&lt;$X$52),$W$44,IF(AND(S$30&gt;600,S$30&lt;=650,S$31&gt;$W$53,S$31&lt;$X$53),$W$44,"NON PUOI"))))))))))))))))))))))))))))))))))))))),"NO")</f>
        <v>NO</v>
      </c>
      <c r="T37" s="76" t="str">
        <f>IF(MODULO!$AA$65=DATI!$N$37,IF(AND(T$30&lt;=225,T$31&gt;$T$45,T$31&lt;$U$45),$T$44,IF(AND(T$30&gt;225,T$30&lt;=300,T$31&gt;$T$46,T$31&lt;U46),$T$44,IF(AND(T$30&gt;300,T$30&lt;=350,T$31&gt;$T$47,T$31&lt;$U$47),$T$44,IF(AND(T$30&gt;350,T$30&lt;=400,T$31&gt;$T$48,T$31&lt;$U$48),$T$44,IF(AND(T$30&gt;400,T$30&lt;=450,T$31&gt;$T$49,T$31&lt;$U$49),$T$44,IF(AND(T$30&gt;450,T$30&lt;=500,T$31&gt;$T$50,T$31&lt;$U$50),$T$44,IF(AND(T$30&gt;500,T$30&lt;=550,T$31&gt;$T$51,T$31&lt;$U$51),$T$44,IF(AND(T$30&gt;550,T$30&lt;=600,T$31&gt;$T$52,T$31&lt;$U$52),$T$44,IF(AND(T$30&gt;600,T$30&lt;=650,T$31&gt;$T$53,T$31&lt;$U$53),$T$44,IF(MODULO!$AA$65=DATI!$N$37,IF(AND(T$30&lt;=225,T$31&gt;$U$45,T$31&lt;$V$45),$U$44,IF(AND(T$30&gt;225,T$30&lt;=300,T$31&gt;$U$46,T$31&lt;$V$46),$U$44,IF(AND(T$30&gt;300,T$30&lt;=350,T$31&gt;$U$47,T$31&lt;$V$47),$U$44,IF(AND(T$30&gt;350,T$30&lt;=400,T$31&gt;$U$48,T$31&lt;$V$48),$U$44,IF(AND(T$30&gt;400,T$30&lt;=450,T$31&gt;$U$49,T$31&lt;$V$49),$U$44,IF(AND(T$30&gt;450,T$30&lt;=500,T$31&gt;$U$50,T$31&lt;$V$50),$U$44,IF(AND(T$30&gt;500,T$30&lt;=550,T$31&gt;$U$51,T$31&lt;$V$51),$U$44,IF(AND(T$30&gt;550,T$30&lt;=600,T$31&gt;$U$52,T$31&lt;$V$52),$U$44,IF(AND(T$30&gt;600,T$30&lt;=650,T$31&gt;$U$53,T$31&lt;$V$53),$U$44,IF(MODULO!$AA$65=DATI!$N$37,IF(AND(T$30&lt;=225,T$31&gt;$V$45,T$31&lt;$W$45),$V$44,IF(AND(T$30&gt;225,T$30&lt;=300,T$31&gt;$V$46,T$31&lt;$W$46),$V$44,IF(AND(T$30&gt;300,T$30&lt;=350,T$31&gt;$V$47,T$31&lt;$W$47),$V$44,IF(AND(T$30&gt;350,T$30&lt;=400,T$31&gt;$V$48,T$31&lt;$W$48),$V$44,IF(AND(T$30&gt;400,T$30&lt;=450,T$31&gt;$V$49,T$31&lt;$W$49),$V$44,IF(AND(T$30&gt;450,T$30&lt;=500,T$31&gt;$V$50,T$31&lt;$W$50),$V$44,IF(AND(T$30&gt;500,T$30&lt;=550,T$31&gt;$V$51,T$31&lt;$W$51),$V$44,IF(AND(T$30&gt;550,T$30&lt;=600,T$31&gt;$V$52,T$31&lt;$W$52),$V$44,IF(AND(T$30&gt;600,T$30&lt;=650,T$31&gt;$V$53,T$31&lt;$W$53),$V$44,IF(MODULO!$AA$65=DATI!$N$37,IF(AND(T$30&lt;=225,T$31&gt;$W$45,T$31&lt;$X$45),$W$44,IF(AND(T$30&gt;225,T$30&lt;=300,T$31&gt;$W$46,T$31&lt;$X$46),$W$44,IF(AND(T$30&gt;300,T$30&lt;=350,T$31&gt;$W$47,T$31&lt;$X$47),$W$44,IF(AND(T$30&gt;350,T$30&lt;=400,T$31&gt;$W$48,T$31&lt;$X$48),$W$44,IF(AND(T$30&gt;400,T$30&lt;=450,T$31&gt;$W$49,T$31&lt;$X$49),$W$44,IF(AND(T$30&gt;450,T$30&lt;=500,T$31&gt;$W$50,T$31&lt;$X$50),$W$44,IF(AND(T$30&gt;500,T$30&lt;=550,T$31&gt;$W$51,T$31&lt;$X$51),$W$44,IF(AND(T$30&gt;550,T$30&lt;=600,T$31&gt;$W$52,T$31&lt;$X$52),$W$44,IF(AND(T$30&gt;600,T$30&lt;=650,T$31&gt;$W$53,T$31&lt;$X$53),$W$44,"NON PUOI"))))))))))))))))))))))))))))))))))))))),"NO")</f>
        <v>NO</v>
      </c>
      <c r="AA37" s="40" t="s">
        <v>188</v>
      </c>
      <c r="AB37" s="161" t="s">
        <v>88</v>
      </c>
      <c r="AC37" s="28" t="s">
        <v>88</v>
      </c>
      <c r="AD37" s="28" t="s">
        <v>88</v>
      </c>
      <c r="AE37" s="28" t="s">
        <v>88</v>
      </c>
    </row>
    <row r="38" spans="1:49" ht="23.1" hidden="1" customHeight="1">
      <c r="A38" s="86">
        <v>400</v>
      </c>
      <c r="B38" s="67">
        <v>1.7</v>
      </c>
      <c r="C38" s="68">
        <v>3.6</v>
      </c>
      <c r="D38" s="67">
        <v>3.2</v>
      </c>
      <c r="E38" s="68">
        <v>7</v>
      </c>
      <c r="F38" s="85"/>
      <c r="G38" s="86">
        <v>550</v>
      </c>
      <c r="H38" s="67">
        <v>3.3</v>
      </c>
      <c r="I38" s="68">
        <v>6.8</v>
      </c>
      <c r="J38" s="67">
        <v>6.3</v>
      </c>
      <c r="K38" s="68">
        <v>13.2</v>
      </c>
      <c r="L38" s="67">
        <v>12</v>
      </c>
      <c r="M38" s="140">
        <v>16.5</v>
      </c>
      <c r="N38" s="79" t="s">
        <v>161</v>
      </c>
      <c r="O38" s="81"/>
      <c r="P38" s="74"/>
      <c r="Q38" s="74"/>
      <c r="R38" s="74"/>
      <c r="S38" s="74"/>
      <c r="T38" s="74"/>
      <c r="AA38" s="40" t="s">
        <v>193</v>
      </c>
      <c r="AB38" s="28" t="s">
        <v>189</v>
      </c>
      <c r="AC38" s="161" t="s">
        <v>91</v>
      </c>
      <c r="AD38" s="28" t="s">
        <v>91</v>
      </c>
      <c r="AE38" s="28" t="s">
        <v>189</v>
      </c>
    </row>
    <row r="39" spans="1:49" ht="23.1" hidden="1" customHeight="1" thickBot="1">
      <c r="A39" s="87">
        <v>450</v>
      </c>
      <c r="B39" s="69">
        <v>1.4</v>
      </c>
      <c r="C39" s="70">
        <v>3.2</v>
      </c>
      <c r="D39" s="69">
        <v>2.7</v>
      </c>
      <c r="E39" s="70">
        <v>6.1</v>
      </c>
      <c r="F39" s="85"/>
      <c r="G39" s="86">
        <v>600</v>
      </c>
      <c r="H39" s="67">
        <v>3</v>
      </c>
      <c r="I39" s="68">
        <v>6.2</v>
      </c>
      <c r="J39" s="67">
        <v>5.7</v>
      </c>
      <c r="K39" s="68">
        <v>12</v>
      </c>
      <c r="L39" s="67">
        <v>11</v>
      </c>
      <c r="M39" s="140">
        <v>15</v>
      </c>
      <c r="N39" s="79" t="s">
        <v>160</v>
      </c>
      <c r="O39" s="77" t="str">
        <f>IF(MODULO!AN48=DATI!N38,"1","")</f>
        <v/>
      </c>
      <c r="P39" s="76"/>
      <c r="Q39" s="76"/>
      <c r="AA39" s="40" t="s">
        <v>194</v>
      </c>
    </row>
    <row r="40" spans="1:49" ht="23.1" hidden="1" customHeight="1" thickBot="1">
      <c r="A40" s="88"/>
      <c r="B40" s="82"/>
      <c r="C40" s="82"/>
      <c r="D40" s="82"/>
      <c r="E40" s="82"/>
      <c r="F40" s="89"/>
      <c r="G40" s="86">
        <v>650</v>
      </c>
      <c r="H40" s="69">
        <v>2.6</v>
      </c>
      <c r="I40" s="70">
        <v>5.6</v>
      </c>
      <c r="J40" s="69">
        <v>5.3</v>
      </c>
      <c r="K40" s="70">
        <v>11</v>
      </c>
      <c r="L40" s="69">
        <v>10</v>
      </c>
      <c r="M40" s="141">
        <v>14</v>
      </c>
      <c r="N40" s="142" t="s">
        <v>159</v>
      </c>
      <c r="O40" s="77"/>
      <c r="Q40" s="76"/>
      <c r="AA40" s="40" t="s">
        <v>210</v>
      </c>
    </row>
    <row r="41" spans="1:49" ht="23.1" hidden="1" customHeight="1" thickBot="1">
      <c r="A41" s="783" t="s">
        <v>126</v>
      </c>
      <c r="B41" s="784"/>
      <c r="C41" s="785" t="s">
        <v>127</v>
      </c>
      <c r="D41" s="785"/>
      <c r="E41" s="785"/>
      <c r="F41" s="90">
        <v>4.78</v>
      </c>
      <c r="G41" s="786" t="s">
        <v>126</v>
      </c>
      <c r="H41" s="785"/>
      <c r="I41" s="785"/>
      <c r="J41" s="750" t="s">
        <v>127</v>
      </c>
      <c r="K41" s="750"/>
      <c r="L41" s="750"/>
      <c r="M41" s="97">
        <v>4.78</v>
      </c>
      <c r="N41" s="30"/>
      <c r="O41" s="77"/>
      <c r="AA41" s="165" t="s">
        <v>195</v>
      </c>
      <c r="AB41" s="50" t="str">
        <f>IF($AA$42=$AC$41,AC42,IF($AA$42=$AD$41,AD42,IF($AA$42=$AE$41,AE42,IF($AA$42=$AF$41,AF42,IF($AA$42=$AG$41,AG42,IF($AA$42=$AH$41,AH42,IF($AA$42=$AI$41,AI42,IF($AA$42=$AJ$41,AJ42,IF($AA$42=$AK$41,AK42,IF($AA$42=$AL$41,AL42,IF($AA$42=$AM$41,AM42,IF($AA$42=$AN$41,AN42,IF($AA$42=$AO$41,AO42,IF($AA$42=$AP$41,AP42,IF($AA$42=$AQ$41,AQ42,IF($AA$42=$AR$41,AR42,IF($AA$42=$AS$41,AS42,IF($AA$42=$AT$41,AT42,IF($AA$42=$AU$41,AU42,IF($AA$42=$AV$41,AV42,IF($AA$42=$AW$41,AW42,"")))))))))))))))))))))</f>
        <v/>
      </c>
      <c r="AC41" s="40" t="s">
        <v>236</v>
      </c>
      <c r="AD41" s="40" t="s">
        <v>271</v>
      </c>
      <c r="AE41" s="40" t="s">
        <v>237</v>
      </c>
      <c r="AF41" s="40" t="s">
        <v>238</v>
      </c>
      <c r="AG41" s="40" t="s">
        <v>268</v>
      </c>
      <c r="AH41" s="40" t="s">
        <v>239</v>
      </c>
      <c r="AI41" s="40" t="s">
        <v>267</v>
      </c>
      <c r="AJ41" s="40" t="s">
        <v>240</v>
      </c>
      <c r="AK41" s="40" t="s">
        <v>241</v>
      </c>
      <c r="AL41" s="40" t="s">
        <v>242</v>
      </c>
      <c r="AM41" s="40" t="s">
        <v>243</v>
      </c>
      <c r="AN41" s="40" t="s">
        <v>244</v>
      </c>
      <c r="AO41" s="40" t="s">
        <v>245</v>
      </c>
      <c r="AP41" s="40" t="s">
        <v>246</v>
      </c>
      <c r="AQ41" s="40" t="s">
        <v>247</v>
      </c>
      <c r="AR41" s="40" t="s">
        <v>248</v>
      </c>
      <c r="AS41" s="40" t="s">
        <v>249</v>
      </c>
      <c r="AT41" s="40" t="s">
        <v>250</v>
      </c>
      <c r="AU41" s="40" t="s">
        <v>276</v>
      </c>
      <c r="AV41" s="40" t="s">
        <v>280</v>
      </c>
      <c r="AW41" s="40" t="s">
        <v>350</v>
      </c>
    </row>
    <row r="42" spans="1:49" ht="23.1" hidden="1" customHeight="1" thickBot="1">
      <c r="A42" s="776" t="s">
        <v>120</v>
      </c>
      <c r="B42" s="777"/>
      <c r="C42" s="777"/>
      <c r="D42" s="777"/>
      <c r="E42" s="781"/>
      <c r="F42" s="56"/>
      <c r="G42" s="776" t="s">
        <v>122</v>
      </c>
      <c r="H42" s="777"/>
      <c r="I42" s="777"/>
      <c r="J42" s="777"/>
      <c r="K42" s="781"/>
      <c r="L42" s="94"/>
      <c r="M42" s="776" t="s">
        <v>123</v>
      </c>
      <c r="N42" s="777"/>
      <c r="O42" s="777"/>
      <c r="P42" s="777"/>
      <c r="Q42" s="781"/>
      <c r="S42" s="749" t="s">
        <v>154</v>
      </c>
      <c r="T42" s="750"/>
      <c r="U42" s="750"/>
      <c r="V42" s="750"/>
      <c r="W42" s="751"/>
      <c r="AA42" s="40" t="str">
        <f>(MODULO!$M$26&amp;MODULO!M29)</f>
        <v/>
      </c>
      <c r="AB42" s="50" t="str">
        <f>IF($AA$42=$AC$41,AC43,IF($AA$42=$AD$41,AD43,IF($AA$42=$AE$41,AE43,IF($AA$42=$AF$41,AF43,IF($AA$42=$AG$41,AG43,IF($AA$42=$AH$41,AH43,IF($AA$42=$AI$41,AI43,IF($AA$42=$AJ$41,AJ43,IF($AA$42=$AK$41,AK43,IF($AA$42=$AL$41,AL43,IF($AA$42=$AM$41,AM43,IF($AA$42=$AN$41,AN43,IF($AA$42=$AO$41,AO43,IF($AA$42=$AP$41,AP43,IF($AA$42=$AQ$41,AQ43,IF($AA$42=$AR$41,AR43,IF($AA$42=$AS$41,AS43,IF($AA$42=$AP$41,AP43,IF($AA$42=$AW$41,AW43,"")))))))))))))))))))</f>
        <v/>
      </c>
      <c r="AC42" s="50" t="s">
        <v>196</v>
      </c>
      <c r="AD42" s="50" t="s">
        <v>196</v>
      </c>
      <c r="AE42" s="50" t="s">
        <v>196</v>
      </c>
      <c r="AF42" s="50" t="s">
        <v>196</v>
      </c>
      <c r="AG42" s="50" t="s">
        <v>196</v>
      </c>
      <c r="AH42" s="50" t="s">
        <v>199</v>
      </c>
      <c r="AI42" s="50" t="s">
        <v>197</v>
      </c>
      <c r="AJ42" s="50" t="s">
        <v>199</v>
      </c>
      <c r="AK42" s="50" t="s">
        <v>199</v>
      </c>
      <c r="AL42" s="50" t="s">
        <v>207</v>
      </c>
      <c r="AM42" s="50" t="s">
        <v>197</v>
      </c>
      <c r="AN42" s="50" t="s">
        <v>197</v>
      </c>
      <c r="AO42" s="50" t="s">
        <v>199</v>
      </c>
      <c r="AP42" s="50" t="s">
        <v>207</v>
      </c>
      <c r="AQ42" s="50" t="s">
        <v>197</v>
      </c>
      <c r="AR42" s="50" t="s">
        <v>197</v>
      </c>
      <c r="AS42" s="50" t="s">
        <v>207</v>
      </c>
      <c r="AT42" s="50" t="s">
        <v>207</v>
      </c>
      <c r="AU42" s="50" t="s">
        <v>344</v>
      </c>
      <c r="AV42" s="50" t="s">
        <v>344</v>
      </c>
      <c r="AW42" s="50" t="s">
        <v>199</v>
      </c>
    </row>
    <row r="43" spans="1:49" ht="23.1" hidden="1" customHeight="1" thickBot="1">
      <c r="A43" s="84" t="s">
        <v>118</v>
      </c>
      <c r="B43" s="766">
        <v>62.09</v>
      </c>
      <c r="C43" s="778"/>
      <c r="D43" s="766">
        <v>62.38</v>
      </c>
      <c r="E43" s="778"/>
      <c r="F43" s="56"/>
      <c r="G43" s="84" t="s">
        <v>118</v>
      </c>
      <c r="H43" s="766">
        <v>78</v>
      </c>
      <c r="I43" s="778"/>
      <c r="J43" s="766">
        <v>82.58</v>
      </c>
      <c r="K43" s="778"/>
      <c r="M43" s="84" t="s">
        <v>118</v>
      </c>
      <c r="N43" s="766">
        <v>74.52</v>
      </c>
      <c r="O43" s="778"/>
      <c r="P43" s="766">
        <v>81.510000000000005</v>
      </c>
      <c r="Q43" s="778"/>
      <c r="S43" s="133" t="s">
        <v>118</v>
      </c>
      <c r="T43" s="130">
        <v>23.11</v>
      </c>
      <c r="U43" s="137">
        <v>24.74</v>
      </c>
      <c r="V43" s="130">
        <v>24.74</v>
      </c>
      <c r="W43" s="130">
        <v>24.74</v>
      </c>
      <c r="X43" s="129"/>
      <c r="Y43" s="129"/>
      <c r="Z43" s="129"/>
      <c r="AA43" s="40"/>
      <c r="AB43" s="50" t="str">
        <f>IF($AA$42=$AC$41,AC44,IF($AA$42=$AD$41,AD44,IF($AA$42=$AE$41,AE44,IF($AA$42=$AF$41,AF44,IF($AA$42=$AG$41,AG44,IF($AA$42=$AH$41,AH44,IF($AA$42=$AI$41,AI44,IF($AA$42=$AJ$41,AJ44,IF($AA$42=$AK$41,AK44,IF($AA$42=$AL$41,AL44,IF($AA$42=$AM$41,AM44,IF($AA$42=$AN$41,AN44,IF($AA$42=$AO$41,AO44,IF($AA$42=$AP$41,AP44,IF($AA$42=$AQ$41,AQ44,IF($AA$42=$AR$41,AR44,IF($AA$42=$AS$41,AS44,IF($AA$42=$AP$41,AP44,IF($AA$42=$AW$41,AW44,"")))))))))))))))))))</f>
        <v/>
      </c>
      <c r="AC43" s="50" t="s">
        <v>207</v>
      </c>
      <c r="AD43" s="50" t="s">
        <v>207</v>
      </c>
      <c r="AE43" s="50" t="s">
        <v>207</v>
      </c>
      <c r="AF43" s="50" t="s">
        <v>207</v>
      </c>
      <c r="AG43" s="50" t="s">
        <v>207</v>
      </c>
      <c r="AH43" s="50" t="s">
        <v>197</v>
      </c>
      <c r="AI43" s="50" t="s">
        <v>198</v>
      </c>
      <c r="AJ43" s="50" t="s">
        <v>197</v>
      </c>
      <c r="AK43" s="50" t="s">
        <v>197</v>
      </c>
      <c r="AL43" s="50"/>
      <c r="AM43" s="50" t="s">
        <v>198</v>
      </c>
      <c r="AN43" s="50" t="s">
        <v>198</v>
      </c>
      <c r="AO43" s="50" t="s">
        <v>197</v>
      </c>
      <c r="AP43" s="50"/>
      <c r="AQ43" s="50" t="s">
        <v>198</v>
      </c>
      <c r="AR43" s="50" t="s">
        <v>198</v>
      </c>
      <c r="AW43" s="50" t="s">
        <v>197</v>
      </c>
    </row>
    <row r="44" spans="1:49" ht="23.1" hidden="1" customHeight="1">
      <c r="A44" s="84" t="s">
        <v>111</v>
      </c>
      <c r="B44" s="756" t="s">
        <v>128</v>
      </c>
      <c r="C44" s="775"/>
      <c r="D44" s="756" t="s">
        <v>129</v>
      </c>
      <c r="E44" s="775"/>
      <c r="F44" s="56"/>
      <c r="G44" s="84" t="s">
        <v>111</v>
      </c>
      <c r="H44" s="756" t="s">
        <v>133</v>
      </c>
      <c r="I44" s="775"/>
      <c r="J44" s="756" t="s">
        <v>134</v>
      </c>
      <c r="K44" s="775"/>
      <c r="M44" s="84" t="s">
        <v>111</v>
      </c>
      <c r="N44" s="756" t="s">
        <v>135</v>
      </c>
      <c r="O44" s="775"/>
      <c r="P44" s="756" t="s">
        <v>136</v>
      </c>
      <c r="Q44" s="775"/>
      <c r="S44" s="134" t="s">
        <v>111</v>
      </c>
      <c r="T44" s="128" t="s">
        <v>155</v>
      </c>
      <c r="U44" s="126" t="s">
        <v>156</v>
      </c>
      <c r="V44" s="126" t="s">
        <v>157</v>
      </c>
      <c r="W44" s="126" t="s">
        <v>158</v>
      </c>
      <c r="X44" s="73"/>
      <c r="Y44" s="73"/>
      <c r="Z44" s="73"/>
      <c r="AA44" s="40"/>
      <c r="AB44" s="50" t="str">
        <f>IF($AA$42=$AC$41,AC45,IF($AA$42=$AD$41,AD45,IF($AA$42=$AE$41,AE45,IF($AA$42=$AF$41,AF45,IF($AA$42=$AG$41,AG45,IF($AA$42=$AH$41,AH45,IF($AA$42=$AI$41,AI45,IF($AA$42=$AJ$41,AJ45,IF($AA$42=$AK$41,AK45,IF($AA$42=$AL$41,AL45,IF($AA$42=$AM$41,AM45,IF($AA$42=$AN$41,AN45,IF($AA$42=$AO$41,AO45,IF($AA$42=$AP$41,AP45,IF($AA$42=$AQ$41,AQ45,IF($AA$42=$AR$41,AR45,IF($AA$42=$AS$41,AS45,IF($AA$42=$AP$41,AP45,IF($AA$42=$AW$41,AW45,"")))))))))))))))))))</f>
        <v/>
      </c>
      <c r="AC44" s="50"/>
      <c r="AD44" s="50"/>
      <c r="AE44" s="50"/>
      <c r="AF44" s="50"/>
      <c r="AG44" s="50"/>
      <c r="AH44" s="50" t="s">
        <v>198</v>
      </c>
      <c r="AI44" s="50" t="s">
        <v>201</v>
      </c>
      <c r="AJ44" s="50" t="s">
        <v>198</v>
      </c>
      <c r="AK44" s="50" t="s">
        <v>198</v>
      </c>
      <c r="AM44" s="50" t="s">
        <v>201</v>
      </c>
      <c r="AN44" s="50" t="s">
        <v>201</v>
      </c>
      <c r="AO44" s="50" t="s">
        <v>198</v>
      </c>
      <c r="AQ44" s="50" t="s">
        <v>201</v>
      </c>
      <c r="AR44" s="50" t="s">
        <v>201</v>
      </c>
      <c r="AW44" s="50" t="s">
        <v>198</v>
      </c>
    </row>
    <row r="45" spans="1:49" ht="23.1" hidden="1" customHeight="1">
      <c r="A45" s="86" t="s">
        <v>142</v>
      </c>
      <c r="B45" s="67">
        <v>4.3499999999999996</v>
      </c>
      <c r="C45" s="68">
        <v>8.6</v>
      </c>
      <c r="D45" s="67"/>
      <c r="E45" s="68"/>
      <c r="F45" s="56"/>
      <c r="G45" s="86">
        <v>670</v>
      </c>
      <c r="H45" s="67">
        <v>3.2</v>
      </c>
      <c r="I45" s="68">
        <v>6.5</v>
      </c>
      <c r="J45" s="67">
        <v>5.7</v>
      </c>
      <c r="K45" s="68">
        <v>11.3</v>
      </c>
      <c r="M45" s="86" t="s">
        <v>124</v>
      </c>
      <c r="N45" s="67">
        <v>4.0999999999999996</v>
      </c>
      <c r="O45" s="68">
        <v>8</v>
      </c>
      <c r="P45" s="67"/>
      <c r="Q45" s="68"/>
      <c r="S45" s="135">
        <v>225</v>
      </c>
      <c r="T45" s="127">
        <v>3.8</v>
      </c>
      <c r="U45" s="127">
        <v>6.4</v>
      </c>
      <c r="V45" s="127">
        <v>9.1999999999999993</v>
      </c>
      <c r="W45" s="127">
        <v>13.4</v>
      </c>
      <c r="X45" s="138">
        <v>19.100000000000001</v>
      </c>
      <c r="AA45" s="40"/>
      <c r="AB45" s="50" t="str">
        <f>IF($AA$42=$AC$41,AC46,IF($AA$42=$AD$41,AD46,IF($AA$42=$AE$41,AE46,IF($AA$42=$AF$41,AF46,IF($AA$42=$AG$41,AG46,IF($AA$42=$AH$41,AH46,IF($AA$42=$AI$41,AI46,IF($AA$42=$AJ$41,AJ46,IF($AA$42=$AK$41,AK46,IF($AA$42=$AL$41,AL46,IF($AA$42=$AM$41,AM46,IF($AA$42=$AN$41,AN46,IF($AA$42=$AO$41,AO46,IF($AA$42=$AP$41,AP46,IF($AA$42=$AQ$41,AQ46,IF($AA$42=$AR$41,AR46,IF($AA$42=$AS$41,AS46,IF($AA$42=$AP$41,AP46,IF($AA$42=$AW$41,AW46,"")))))))))))))))))))</f>
        <v/>
      </c>
      <c r="AC45" s="50"/>
      <c r="AD45" s="50"/>
      <c r="AE45" s="50"/>
      <c r="AF45" s="50"/>
      <c r="AG45" s="50"/>
      <c r="AH45" s="50" t="s">
        <v>201</v>
      </c>
      <c r="AI45" s="50" t="s">
        <v>207</v>
      </c>
      <c r="AJ45" s="50" t="s">
        <v>201</v>
      </c>
      <c r="AK45" s="50" t="s">
        <v>201</v>
      </c>
      <c r="AM45" s="50" t="s">
        <v>207</v>
      </c>
      <c r="AN45" s="50" t="s">
        <v>207</v>
      </c>
      <c r="AO45" s="50" t="s">
        <v>201</v>
      </c>
      <c r="AQ45" s="50" t="s">
        <v>207</v>
      </c>
      <c r="AR45" s="50" t="s">
        <v>207</v>
      </c>
      <c r="AW45" s="50" t="s">
        <v>201</v>
      </c>
    </row>
    <row r="46" spans="1:49" ht="23.1" hidden="1" customHeight="1">
      <c r="A46" s="86" t="s">
        <v>143</v>
      </c>
      <c r="B46" s="67"/>
      <c r="C46" s="68"/>
      <c r="D46" s="67">
        <v>4</v>
      </c>
      <c r="E46" s="68">
        <v>7.75</v>
      </c>
      <c r="G46" s="86">
        <v>700</v>
      </c>
      <c r="H46" s="67">
        <v>3.1</v>
      </c>
      <c r="I46" s="68">
        <v>6.3</v>
      </c>
      <c r="J46" s="67">
        <v>5.6</v>
      </c>
      <c r="K46" s="68">
        <v>11.1</v>
      </c>
      <c r="M46" s="86" t="s">
        <v>125</v>
      </c>
      <c r="N46" s="67"/>
      <c r="O46" s="68"/>
      <c r="P46" s="67">
        <v>5</v>
      </c>
      <c r="Q46" s="68">
        <v>9.6999999999999993</v>
      </c>
      <c r="S46" s="135">
        <v>300</v>
      </c>
      <c r="T46" s="127">
        <v>2.8</v>
      </c>
      <c r="U46" s="127">
        <v>4.8</v>
      </c>
      <c r="V46" s="127">
        <v>6.9</v>
      </c>
      <c r="W46" s="127">
        <v>10.1</v>
      </c>
      <c r="X46" s="138">
        <v>14.3</v>
      </c>
      <c r="AA46" s="40"/>
      <c r="AB46" s="50" t="str">
        <f>IF($AA$42=$AC$41,AC47,IF($AA$42=$AD$41,AD47,IF($AA$42=$AE$41,AE47,IF($AA$42=$AF$41,AF47,IF($AA$42=$AG$41,AG47,IF($AA$42=$AH$41,AH47,IF($AA$42=$AI$41,AI47,IF($AA$42=$AJ$41,AJ47,IF($AA$42=$AK$41,AK47,IF($AA$42=$AL$41,AL47,IF($AA$42=$AM$41,AM47,IF($AA$42=$AN$41,AN47,IF($AA$42=$AO$41,AO47,IF($AA$42=$AP$41,AP47,IF($AA$42=$AQ$41,AQ47,IF($AA$42=$AR$41,AR47,IF($AA$42=$AS$41,AS47,IF($AA$42=$AP$41,AP47,IF($AA$42=$AW$41,AW47,"")))))))))))))))))))</f>
        <v/>
      </c>
      <c r="AE46" s="50"/>
      <c r="AF46" s="50"/>
      <c r="AG46" s="50"/>
      <c r="AH46" s="50" t="s">
        <v>207</v>
      </c>
      <c r="AI46" s="50"/>
      <c r="AJ46" s="50" t="s">
        <v>207</v>
      </c>
      <c r="AK46" s="50" t="s">
        <v>207</v>
      </c>
      <c r="AO46" s="50" t="s">
        <v>207</v>
      </c>
      <c r="AW46" s="50" t="s">
        <v>207</v>
      </c>
    </row>
    <row r="47" spans="1:49" ht="23.1" hidden="1" customHeight="1">
      <c r="A47" s="98" t="s">
        <v>131</v>
      </c>
      <c r="B47" s="782" t="s">
        <v>130</v>
      </c>
      <c r="C47" s="782"/>
      <c r="D47" s="77">
        <v>5.33</v>
      </c>
      <c r="E47" s="95"/>
      <c r="F47" s="80"/>
      <c r="G47" s="86">
        <v>750</v>
      </c>
      <c r="H47" s="67">
        <v>3</v>
      </c>
      <c r="I47" s="68">
        <v>6</v>
      </c>
      <c r="J47" s="67">
        <v>5.4</v>
      </c>
      <c r="K47" s="68">
        <v>10.7</v>
      </c>
      <c r="M47" s="96"/>
      <c r="N47" s="30"/>
      <c r="O47" s="72"/>
      <c r="Q47" s="91"/>
      <c r="S47" s="135">
        <v>350</v>
      </c>
      <c r="T47" s="127">
        <v>2.4</v>
      </c>
      <c r="U47" s="127">
        <v>4.0999999999999996</v>
      </c>
      <c r="V47" s="127">
        <v>5.9</v>
      </c>
      <c r="W47" s="127">
        <v>8.6</v>
      </c>
      <c r="X47" s="138">
        <v>12.3</v>
      </c>
      <c r="AA47" s="40"/>
      <c r="AB47" s="50"/>
      <c r="AC47" s="50"/>
      <c r="AD47" s="50"/>
      <c r="AE47" s="50"/>
      <c r="AF47" s="50"/>
      <c r="AG47" s="50"/>
      <c r="AH47" s="50"/>
      <c r="AI47" s="50"/>
      <c r="AJ47" s="50"/>
    </row>
    <row r="48" spans="1:49" ht="23.1" hidden="1" customHeight="1">
      <c r="A48" s="92"/>
      <c r="B48" s="73"/>
      <c r="C48" s="77"/>
      <c r="D48" s="77"/>
      <c r="E48" s="95"/>
      <c r="F48" s="73"/>
      <c r="G48" s="86">
        <v>800</v>
      </c>
      <c r="H48" s="67">
        <v>2.9</v>
      </c>
      <c r="I48" s="68">
        <v>5.7</v>
      </c>
      <c r="J48" s="67">
        <v>5.3</v>
      </c>
      <c r="K48" s="68">
        <v>10.3</v>
      </c>
      <c r="M48" s="96"/>
      <c r="N48" s="30"/>
      <c r="O48" s="72"/>
      <c r="Q48" s="91"/>
      <c r="S48" s="135">
        <v>400</v>
      </c>
      <c r="T48" s="127">
        <v>2.1</v>
      </c>
      <c r="U48" s="127">
        <v>3.6</v>
      </c>
      <c r="V48" s="127">
        <v>5.2</v>
      </c>
      <c r="W48" s="127">
        <v>7.6</v>
      </c>
      <c r="X48" s="139">
        <v>10.7</v>
      </c>
      <c r="AA48" s="40"/>
      <c r="AB48" s="50"/>
      <c r="AC48" s="50"/>
      <c r="AD48" s="50"/>
      <c r="AE48" s="50"/>
      <c r="AF48" s="50"/>
      <c r="AG48" s="50"/>
      <c r="AH48" s="50"/>
      <c r="AI48" s="50"/>
    </row>
    <row r="49" spans="1:35" ht="23.1" hidden="1" customHeight="1" thickBot="1">
      <c r="A49" s="783" t="s">
        <v>126</v>
      </c>
      <c r="B49" s="784"/>
      <c r="C49" s="787" t="s">
        <v>132</v>
      </c>
      <c r="D49" s="787"/>
      <c r="E49" s="93">
        <v>3.1</v>
      </c>
      <c r="F49" s="77"/>
      <c r="G49" s="773" t="s">
        <v>126</v>
      </c>
      <c r="H49" s="774"/>
      <c r="I49" s="772" t="s">
        <v>127</v>
      </c>
      <c r="J49" s="772"/>
      <c r="K49" s="99">
        <v>4.84</v>
      </c>
      <c r="M49" s="773" t="s">
        <v>126</v>
      </c>
      <c r="N49" s="774"/>
      <c r="O49" s="746" t="s">
        <v>127</v>
      </c>
      <c r="P49" s="746"/>
      <c r="Q49" s="99">
        <v>4.78</v>
      </c>
      <c r="S49" s="135">
        <v>450</v>
      </c>
      <c r="T49" s="127">
        <v>1.9</v>
      </c>
      <c r="U49" s="127">
        <v>3.2</v>
      </c>
      <c r="V49" s="127">
        <v>4.5999999999999996</v>
      </c>
      <c r="W49" s="127">
        <v>6.7</v>
      </c>
      <c r="X49" s="139">
        <v>9.5</v>
      </c>
      <c r="AA49" s="40"/>
      <c r="AD49" s="50"/>
      <c r="AE49" s="50"/>
      <c r="AF49" s="50"/>
      <c r="AG49" s="50"/>
      <c r="AH49" s="50"/>
      <c r="AI49" s="50"/>
    </row>
    <row r="50" spans="1:35" ht="23.1" hidden="1" customHeight="1" thickBot="1">
      <c r="A50" s="78"/>
      <c r="B50" s="77"/>
      <c r="C50" s="77"/>
      <c r="D50" s="77"/>
      <c r="E50" s="77"/>
      <c r="F50" s="77"/>
      <c r="G50" s="747">
        <v>450</v>
      </c>
      <c r="H50" s="748"/>
      <c r="I50" s="752" t="s">
        <v>144</v>
      </c>
      <c r="J50" s="753"/>
      <c r="K50" s="753"/>
      <c r="L50" s="753"/>
      <c r="M50" s="754"/>
      <c r="N50" s="100" t="s">
        <v>137</v>
      </c>
      <c r="O50" s="101">
        <v>1.62</v>
      </c>
      <c r="P50" s="101"/>
      <c r="Q50" s="102"/>
      <c r="S50" s="135">
        <v>500</v>
      </c>
      <c r="T50" s="127">
        <v>1.7</v>
      </c>
      <c r="U50" s="127">
        <v>2.9</v>
      </c>
      <c r="V50" s="127">
        <v>4.0999999999999996</v>
      </c>
      <c r="W50" s="127">
        <v>6</v>
      </c>
      <c r="X50" s="139">
        <v>8.6</v>
      </c>
      <c r="AC50" s="161" t="s">
        <v>149</v>
      </c>
      <c r="AD50" s="161" t="s">
        <v>150</v>
      </c>
      <c r="AE50" s="161" t="s">
        <v>151</v>
      </c>
      <c r="AF50" s="161" t="s">
        <v>152</v>
      </c>
      <c r="AG50" s="161" t="s">
        <v>153</v>
      </c>
    </row>
    <row r="51" spans="1:35" ht="23.1" hidden="1" customHeight="1" thickBot="1">
      <c r="A51" s="78"/>
      <c r="B51" s="77"/>
      <c r="C51" s="77"/>
      <c r="D51" s="77"/>
      <c r="E51" s="77"/>
      <c r="F51" s="77"/>
      <c r="G51" s="747">
        <v>600</v>
      </c>
      <c r="H51" s="748"/>
      <c r="I51" s="752" t="s">
        <v>144</v>
      </c>
      <c r="J51" s="753"/>
      <c r="K51" s="753"/>
      <c r="L51" s="753"/>
      <c r="M51" s="754"/>
      <c r="N51" s="100" t="s">
        <v>138</v>
      </c>
      <c r="O51" s="101">
        <v>2.2200000000000002</v>
      </c>
      <c r="P51" s="101"/>
      <c r="Q51" s="102"/>
      <c r="S51" s="135">
        <v>550</v>
      </c>
      <c r="T51" s="127">
        <v>1.5</v>
      </c>
      <c r="U51" s="127">
        <v>2.6</v>
      </c>
      <c r="V51" s="127">
        <v>3.7</v>
      </c>
      <c r="W51" s="127">
        <v>5.5</v>
      </c>
      <c r="X51" s="139">
        <v>7.8</v>
      </c>
      <c r="AA51" s="116" t="str">
        <f>IF(OR(AC51="maniglia AX24",AD51="maniglia AX24",AE51="maniglia AX24",AF51="maniglia AX24",AG51="maniglia AX24"),"CON MANIGLIA AX24","")</f>
        <v/>
      </c>
      <c r="AC51" t="str">
        <f>IF($AB41=0,"",IF('dati immagini'!$E$8=0,"",$AB41))</f>
        <v/>
      </c>
      <c r="AD51" t="str">
        <f>IF($AB41=0,"",IF('dati immagini'!$E$9=0,"",$AB41))</f>
        <v/>
      </c>
      <c r="AE51" t="str">
        <f>IF($AB41=0,"",IF('dati immagini'!$E$10=0,"",$AB41))</f>
        <v/>
      </c>
      <c r="AF51" t="str">
        <f>IF($AB41=0,"",IF('dati immagini'!$E$11=0,"",$AB41))</f>
        <v/>
      </c>
      <c r="AG51" t="str">
        <f>IF($AB41=0,"",IF('dati immagini'!$E$12=0,"",$AB41))</f>
        <v/>
      </c>
    </row>
    <row r="52" spans="1:35" ht="23.1" hidden="1" customHeight="1">
      <c r="G52" s="747">
        <v>900</v>
      </c>
      <c r="H52" s="748"/>
      <c r="I52" s="752" t="s">
        <v>144</v>
      </c>
      <c r="J52" s="753"/>
      <c r="K52" s="753"/>
      <c r="L52" s="753"/>
      <c r="M52" s="754"/>
      <c r="N52" s="100" t="s">
        <v>139</v>
      </c>
      <c r="O52" s="101">
        <v>3.47</v>
      </c>
      <c r="P52" s="101"/>
      <c r="Q52" s="102"/>
      <c r="S52" s="135">
        <v>600</v>
      </c>
      <c r="T52" s="131">
        <v>1.4</v>
      </c>
      <c r="U52" s="131">
        <v>2.4</v>
      </c>
      <c r="V52" s="131">
        <v>3.4</v>
      </c>
      <c r="W52" s="131">
        <v>5</v>
      </c>
      <c r="X52" s="139">
        <v>7.1</v>
      </c>
      <c r="AC52" t="str">
        <f>IF($AB42=0,"",IF('dati immagini'!$E$8=0,"",$AB42))</f>
        <v/>
      </c>
      <c r="AD52" t="str">
        <f>IF($AB42=0,"",IF('dati immagini'!$E$9=0,"",$AB42))</f>
        <v/>
      </c>
      <c r="AE52" t="str">
        <f>IF($AB42=0,"",IF('dati immagini'!$E$10=0,"",$AB42))</f>
        <v/>
      </c>
      <c r="AF52" t="str">
        <f>IF($AB42=0,"",IF('dati immagini'!$E$11=0,"",$AB42))</f>
        <v/>
      </c>
      <c r="AG52" t="str">
        <f>IF($AB42=0,"",IF('dati immagini'!$E$12=0,"",$AB42))</f>
        <v/>
      </c>
    </row>
    <row r="53" spans="1:35" ht="23.1" hidden="1" customHeight="1" thickBot="1">
      <c r="G53" s="747">
        <v>1200</v>
      </c>
      <c r="H53" s="748"/>
      <c r="I53" s="752" t="s">
        <v>144</v>
      </c>
      <c r="J53" s="753"/>
      <c r="K53" s="753"/>
      <c r="L53" s="753"/>
      <c r="M53" s="754"/>
      <c r="N53" s="100" t="s">
        <v>140</v>
      </c>
      <c r="O53" s="101">
        <v>4.49</v>
      </c>
      <c r="P53" s="101"/>
      <c r="Q53" s="102"/>
      <c r="S53" s="136">
        <v>650</v>
      </c>
      <c r="T53" s="132">
        <v>1.3</v>
      </c>
      <c r="U53" s="132">
        <v>2.2000000000000002</v>
      </c>
      <c r="V53" s="132">
        <v>3.2</v>
      </c>
      <c r="W53" s="132">
        <v>4.5999999999999996</v>
      </c>
      <c r="X53" s="139">
        <v>6.6</v>
      </c>
      <c r="AC53" t="str">
        <f>IF($AB43=0,"",IF('dati immagini'!$E$8=0,"",$AB43))</f>
        <v/>
      </c>
      <c r="AD53" t="str">
        <f>IF($AB43=0,"",IF('dati immagini'!$E$9=0,"",$AB43))</f>
        <v/>
      </c>
      <c r="AE53" t="str">
        <f>IF($AB43=0,"",IF('dati immagini'!$E$10=0,"",$AB43))</f>
        <v/>
      </c>
      <c r="AF53" t="str">
        <f>IF($AB43=0,"",IF('dati immagini'!$E$11=0,"",$AB43))</f>
        <v/>
      </c>
      <c r="AG53" t="str">
        <f>IF($AB43=0,"",IF('dati immagini'!$E$12=0,"",$AB43))</f>
        <v/>
      </c>
    </row>
    <row r="54" spans="1:35" ht="23.1" hidden="1" customHeight="1" thickBot="1">
      <c r="G54" s="788">
        <v>1800</v>
      </c>
      <c r="H54" s="789"/>
      <c r="I54" s="769" t="s">
        <v>144</v>
      </c>
      <c r="J54" s="770"/>
      <c r="K54" s="770"/>
      <c r="L54" s="770"/>
      <c r="M54" s="771"/>
      <c r="N54" s="103" t="s">
        <v>141</v>
      </c>
      <c r="O54" s="104">
        <v>7.98</v>
      </c>
      <c r="P54" s="104"/>
      <c r="Q54" s="105"/>
      <c r="AC54" t="str">
        <f>IF($AB44=0,"",IF('dati immagini'!$E$8=0,"",$AB44))</f>
        <v/>
      </c>
      <c r="AD54" t="str">
        <f>IF($AB44=0,"",IF('dati immagini'!$E$9=0,"",$AB44))</f>
        <v/>
      </c>
      <c r="AE54" t="str">
        <f>IF($AB44=0,"",IF('dati immagini'!$E$10=0,"",$AB44))</f>
        <v/>
      </c>
      <c r="AF54" t="str">
        <f>IF($AB44=0,"",IF('dati immagini'!$E$11=0,"",$AB44))</f>
        <v/>
      </c>
      <c r="AG54" t="str">
        <f>IF($AB44=0,"",IF('dati immagini'!$E$12=0,"",$AB44))</f>
        <v/>
      </c>
    </row>
    <row r="55" spans="1:35" ht="23.1" hidden="1" customHeight="1">
      <c r="A55" s="779"/>
      <c r="B55" s="779"/>
      <c r="C55" s="780"/>
      <c r="AC55" t="str">
        <f>IF($AB45=0,"",IF('dati immagini'!$E$8=0,"",$AB45))</f>
        <v/>
      </c>
      <c r="AD55" t="str">
        <f>IF($AB45=0,"",IF('dati immagini'!$E$9=0,"",$AB45))</f>
        <v/>
      </c>
      <c r="AE55" t="str">
        <f>IF($AB45=0,"",IF('dati immagini'!$E$10=0,"",$AB45))</f>
        <v/>
      </c>
      <c r="AF55" t="str">
        <f>IF($AB45=0,"",IF('dati immagini'!$E$11=0,"",$AB45))</f>
        <v/>
      </c>
      <c r="AG55" t="str">
        <f>IF($AB45=0,"",IF('dati immagini'!$E$12=0,"",$AB45))</f>
        <v/>
      </c>
    </row>
    <row r="56" spans="1:35" ht="34.200000000000003" hidden="1" customHeight="1">
      <c r="U56" s="165" t="s">
        <v>216</v>
      </c>
      <c r="W56" s="165" t="s">
        <v>215</v>
      </c>
      <c r="X56" s="165" t="s">
        <v>175</v>
      </c>
      <c r="Y56" s="165" t="s">
        <v>176</v>
      </c>
      <c r="Z56" s="197" t="s">
        <v>177</v>
      </c>
      <c r="AA56" s="28" t="s">
        <v>230</v>
      </c>
      <c r="AB56" s="28" t="s">
        <v>179</v>
      </c>
      <c r="AC56" s="28" t="s">
        <v>180</v>
      </c>
      <c r="AD56" s="165" t="s">
        <v>178</v>
      </c>
      <c r="AE56" s="197" t="s">
        <v>260</v>
      </c>
    </row>
    <row r="57" spans="1:35" ht="23.1" hidden="1" customHeight="1">
      <c r="A57" s="3"/>
      <c r="B57" s="3"/>
      <c r="D57" s="3"/>
      <c r="I57" s="107"/>
      <c r="J57" s="107"/>
      <c r="K57" s="260" t="s">
        <v>228</v>
      </c>
      <c r="L57" s="260"/>
      <c r="M57" s="260"/>
      <c r="N57" s="260"/>
      <c r="O57" s="260"/>
      <c r="P57" s="260"/>
      <c r="Q57" s="260"/>
      <c r="R57" s="260"/>
      <c r="S57" s="260"/>
      <c r="T57" s="260" t="s">
        <v>196</v>
      </c>
      <c r="U57" s="181">
        <v>10</v>
      </c>
      <c r="V57" s="40" t="s">
        <v>196</v>
      </c>
      <c r="W57" s="180"/>
      <c r="X57" s="180">
        <v>14.12</v>
      </c>
      <c r="Y57" s="180">
        <v>3.6</v>
      </c>
      <c r="Z57" s="198">
        <v>9.5</v>
      </c>
      <c r="AA57" s="40"/>
      <c r="AB57" s="199"/>
      <c r="AC57" s="199"/>
      <c r="AD57" s="180"/>
      <c r="AE57" s="198">
        <v>9.5</v>
      </c>
      <c r="AF57" s="32"/>
      <c r="AG57" s="32"/>
    </row>
    <row r="58" spans="1:35" ht="23.1" hidden="1" customHeight="1">
      <c r="A58" s="108"/>
      <c r="B58" s="108"/>
      <c r="D58" s="109"/>
      <c r="F58" s="110"/>
      <c r="H58" s="110"/>
      <c r="I58" s="107"/>
      <c r="J58" s="107"/>
      <c r="K58" s="260" t="s">
        <v>229</v>
      </c>
      <c r="L58" s="260"/>
      <c r="M58" s="260"/>
      <c r="N58" s="260"/>
      <c r="O58" s="260"/>
      <c r="P58" s="260"/>
      <c r="Q58" s="260"/>
      <c r="R58" s="260"/>
      <c r="S58" s="260"/>
      <c r="T58" s="260" t="s">
        <v>200</v>
      </c>
      <c r="U58" s="181">
        <v>10</v>
      </c>
      <c r="V58" s="40" t="s">
        <v>199</v>
      </c>
      <c r="W58" s="180">
        <v>4.05</v>
      </c>
      <c r="X58" s="180">
        <v>3.99</v>
      </c>
      <c r="Y58" s="180"/>
      <c r="Z58" s="198"/>
      <c r="AA58" s="40"/>
      <c r="AB58" s="199"/>
      <c r="AC58" s="199"/>
      <c r="AD58" s="180">
        <v>3.99</v>
      </c>
      <c r="AE58" s="198"/>
    </row>
    <row r="59" spans="1:35" ht="23.1" hidden="1" customHeight="1">
      <c r="A59" s="108"/>
      <c r="B59"/>
      <c r="D59" s="109"/>
      <c r="F59" s="110"/>
      <c r="I59" s="107"/>
      <c r="J59" s="107"/>
      <c r="K59" s="260" t="s">
        <v>231</v>
      </c>
      <c r="L59" s="107"/>
      <c r="M59" s="107"/>
      <c r="N59" s="107"/>
      <c r="T59" s="40" t="s">
        <v>199</v>
      </c>
      <c r="U59" s="181">
        <v>10</v>
      </c>
      <c r="V59" s="40" t="s">
        <v>200</v>
      </c>
      <c r="W59" s="180">
        <v>4.83</v>
      </c>
      <c r="X59" s="180">
        <v>4.6900000000000004</v>
      </c>
      <c r="Y59" s="180"/>
      <c r="Z59" s="198"/>
      <c r="AA59" s="40"/>
      <c r="AB59" s="199"/>
      <c r="AC59" s="199"/>
      <c r="AD59" s="180"/>
      <c r="AE59" s="198"/>
    </row>
    <row r="60" spans="1:35" ht="23.1" hidden="1" customHeight="1">
      <c r="D60" s="109"/>
      <c r="F60" s="110"/>
      <c r="I60" s="107"/>
      <c r="J60" s="107"/>
      <c r="K60" s="260" t="s">
        <v>232</v>
      </c>
      <c r="L60" s="107"/>
      <c r="M60" s="107"/>
      <c r="N60" s="107"/>
      <c r="T60" s="40" t="s">
        <v>197</v>
      </c>
      <c r="U60" s="181">
        <v>10</v>
      </c>
      <c r="V60" s="40" t="s">
        <v>197</v>
      </c>
      <c r="W60" s="180"/>
      <c r="X60" s="180">
        <v>5</v>
      </c>
      <c r="Y60" s="180"/>
      <c r="Z60" s="198">
        <v>11</v>
      </c>
      <c r="AA60" s="198">
        <v>11</v>
      </c>
      <c r="AB60" s="199"/>
      <c r="AC60" s="199"/>
      <c r="AD60" s="180">
        <v>5</v>
      </c>
      <c r="AE60" s="198">
        <v>11</v>
      </c>
    </row>
    <row r="61" spans="1:35" ht="23.1" hidden="1" customHeight="1">
      <c r="D61" s="111"/>
      <c r="F61" s="110"/>
      <c r="I61" s="107"/>
      <c r="J61" s="107"/>
      <c r="K61" s="107"/>
      <c r="L61" s="107"/>
      <c r="M61" s="107"/>
      <c r="N61" s="107"/>
      <c r="T61" s="40" t="s">
        <v>198</v>
      </c>
      <c r="U61" s="181">
        <v>10</v>
      </c>
      <c r="V61" s="40" t="s">
        <v>198</v>
      </c>
      <c r="W61" s="180"/>
      <c r="X61" s="180">
        <v>5</v>
      </c>
      <c r="Y61" s="180"/>
      <c r="Z61" s="198">
        <v>11</v>
      </c>
      <c r="AA61" s="198">
        <v>11</v>
      </c>
      <c r="AB61" s="199"/>
      <c r="AC61" s="199"/>
      <c r="AD61" s="180">
        <v>5</v>
      </c>
      <c r="AE61" s="198">
        <v>11</v>
      </c>
    </row>
    <row r="62" spans="1:35" ht="23.1" hidden="1" customHeight="1">
      <c r="D62" s="112"/>
      <c r="E62" s="112"/>
      <c r="F62" s="112"/>
      <c r="G62" s="112"/>
      <c r="H62" s="112"/>
      <c r="I62" s="107"/>
      <c r="J62" s="107"/>
      <c r="K62" s="107"/>
      <c r="L62" s="107"/>
      <c r="M62" s="107"/>
      <c r="N62" s="107"/>
      <c r="T62" s="200" t="s">
        <v>201</v>
      </c>
      <c r="U62" s="181">
        <v>10</v>
      </c>
      <c r="V62" s="200" t="s">
        <v>201</v>
      </c>
      <c r="W62" s="201"/>
      <c r="X62" s="201">
        <v>7</v>
      </c>
      <c r="Y62" s="201"/>
      <c r="Z62" s="202">
        <v>13</v>
      </c>
      <c r="AA62" s="202">
        <v>13</v>
      </c>
      <c r="AB62" s="199"/>
      <c r="AC62" s="199"/>
      <c r="AD62" s="201">
        <v>7</v>
      </c>
      <c r="AE62" s="202">
        <v>13</v>
      </c>
    </row>
    <row r="63" spans="1:35" hidden="1">
      <c r="A63" s="779"/>
      <c r="B63" s="779"/>
      <c r="C63" s="780"/>
      <c r="D63" s="106"/>
      <c r="E63" s="106"/>
      <c r="F63" s="106"/>
      <c r="G63" s="106"/>
      <c r="H63" s="106"/>
      <c r="I63" s="107"/>
      <c r="J63" s="107"/>
      <c r="K63" s="107"/>
      <c r="L63" s="107"/>
      <c r="M63" s="107"/>
      <c r="N63" s="107"/>
      <c r="T63" s="28" t="s">
        <v>207</v>
      </c>
      <c r="U63" s="203">
        <v>10</v>
      </c>
      <c r="V63" s="28" t="s">
        <v>207</v>
      </c>
      <c r="W63" s="180">
        <v>0</v>
      </c>
      <c r="X63" s="28">
        <v>0</v>
      </c>
      <c r="Y63" s="28">
        <v>0</v>
      </c>
      <c r="Z63" s="28">
        <v>0</v>
      </c>
      <c r="AA63" s="28">
        <v>0</v>
      </c>
      <c r="AB63" s="28">
        <v>0</v>
      </c>
      <c r="AC63" s="28">
        <v>0</v>
      </c>
      <c r="AD63" s="28">
        <v>0</v>
      </c>
      <c r="AE63" s="28">
        <v>0</v>
      </c>
    </row>
    <row r="64" spans="1:35" hidden="1">
      <c r="A64" s="779"/>
      <c r="B64" s="779"/>
      <c r="C64" s="780"/>
      <c r="D64" s="106"/>
      <c r="E64" s="106"/>
      <c r="F64" s="106"/>
      <c r="G64" s="106"/>
      <c r="H64" s="106"/>
      <c r="I64" s="107"/>
      <c r="J64" s="107"/>
      <c r="K64" s="107"/>
      <c r="L64" s="107"/>
      <c r="M64" s="107"/>
      <c r="N64" s="107"/>
    </row>
    <row r="65" spans="1:14" ht="15" hidden="1">
      <c r="A65" s="779"/>
      <c r="B65" s="779"/>
      <c r="C65" s="780"/>
      <c r="D65" s="106"/>
      <c r="E65" s="106"/>
      <c r="F65" s="106"/>
      <c r="G65" s="106"/>
      <c r="H65" s="106"/>
      <c r="I65" s="107"/>
      <c r="J65" s="107"/>
      <c r="K65" s="107"/>
      <c r="L65" s="107"/>
      <c r="M65" s="107"/>
      <c r="N65" s="27" t="s">
        <v>69</v>
      </c>
    </row>
    <row r="66" spans="1:14" hidden="1">
      <c r="A66" s="107"/>
      <c r="B66" s="107"/>
      <c r="C66" s="107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7" t="s">
        <v>20</v>
      </c>
    </row>
    <row r="67" spans="1:14" hidden="1">
      <c r="A67" s="107"/>
      <c r="B67" s="107"/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7" t="s">
        <v>24</v>
      </c>
    </row>
    <row r="68" spans="1:14" hidden="1">
      <c r="N68" s="17" t="s">
        <v>23</v>
      </c>
    </row>
    <row r="69" spans="1:14" hidden="1">
      <c r="N69" s="17" t="s">
        <v>19</v>
      </c>
    </row>
    <row r="70" spans="1:14" hidden="1">
      <c r="N70" s="17" t="s">
        <v>25</v>
      </c>
    </row>
    <row r="71" spans="1:14" hidden="1">
      <c r="N71" s="17" t="s">
        <v>26</v>
      </c>
    </row>
    <row r="72" spans="1:14" hidden="1">
      <c r="N72" s="17" t="s">
        <v>27</v>
      </c>
    </row>
    <row r="73" spans="1:14" hidden="1">
      <c r="N73" s="17" t="s">
        <v>28</v>
      </c>
    </row>
    <row r="74" spans="1:14" hidden="1">
      <c r="N74" s="17" t="s">
        <v>32</v>
      </c>
    </row>
    <row r="75" spans="1:14" hidden="1">
      <c r="N75" s="17" t="s">
        <v>29</v>
      </c>
    </row>
    <row r="76" spans="1:14" hidden="1">
      <c r="N76" s="17" t="s">
        <v>21</v>
      </c>
    </row>
    <row r="77" spans="1:14" hidden="1">
      <c r="N77" s="17" t="s">
        <v>30</v>
      </c>
    </row>
    <row r="78" spans="1:14" hidden="1">
      <c r="N78" s="17" t="s">
        <v>31</v>
      </c>
    </row>
    <row r="79" spans="1:14" hidden="1">
      <c r="N79" s="17" t="s">
        <v>97</v>
      </c>
    </row>
    <row r="80" spans="1:14" hidden="1">
      <c r="N80" s="17" t="s">
        <v>98</v>
      </c>
    </row>
    <row r="81" spans="14:14" hidden="1">
      <c r="N81" s="17" t="s">
        <v>46</v>
      </c>
    </row>
    <row r="82" spans="14:14" hidden="1">
      <c r="N82" s="29" t="s">
        <v>281</v>
      </c>
    </row>
    <row r="83" spans="14:14" hidden="1">
      <c r="N83" s="17" t="s">
        <v>285</v>
      </c>
    </row>
    <row r="84" spans="14:14" hidden="1">
      <c r="N84" s="17" t="s">
        <v>284</v>
      </c>
    </row>
    <row r="85" spans="14:14" ht="13.8" hidden="1" thickBot="1">
      <c r="N85" s="29" t="s">
        <v>283</v>
      </c>
    </row>
    <row r="86" spans="14:14" ht="13.8" hidden="1" thickBot="1">
      <c r="N86" s="117" t="e">
        <f>VLOOKUP("VERO",M63:N85,2,"FALSO")</f>
        <v>#N/A</v>
      </c>
    </row>
    <row r="87" spans="14:14" hidden="1"/>
    <row r="88" spans="14:14" hidden="1"/>
    <row r="89" spans="14:14" hidden="1"/>
    <row r="90" spans="14:14" hidden="1"/>
    <row r="91" spans="14:14" hidden="1"/>
    <row r="92" spans="14:14" hidden="1"/>
    <row r="93" spans="14:14" hidden="1"/>
    <row r="94" spans="14:14" hidden="1"/>
    <row r="95" spans="14:14" hidden="1"/>
    <row r="96" spans="14:14" hidden="1"/>
    <row r="97" hidden="1"/>
    <row r="98" hidden="1"/>
    <row r="99" hidden="1"/>
    <row r="102" ht="14.4" customHeight="1"/>
  </sheetData>
  <sheetProtection algorithmName="SHA-512" hashValue="Zz3mcSbxEyg0Jkd6j64ga7nbK3u/k/wjER24el2u+ZKqOjhbZY+e6jq9qarLAL3lsqQZaGWOyYNj63vuQjC6Eg==" saltValue="i+uy5lSDaJZO+pUElqMAgg==" spinCount="100000" sheet="1" objects="1" scenarios="1" selectLockedCells="1"/>
  <mergeCells count="75">
    <mergeCell ref="A63:C63"/>
    <mergeCell ref="A31:E31"/>
    <mergeCell ref="G42:K42"/>
    <mergeCell ref="H43:I43"/>
    <mergeCell ref="J41:L41"/>
    <mergeCell ref="J43:K43"/>
    <mergeCell ref="A41:B41"/>
    <mergeCell ref="C41:E41"/>
    <mergeCell ref="G41:I41"/>
    <mergeCell ref="C49:D49"/>
    <mergeCell ref="A49:B49"/>
    <mergeCell ref="G49:H49"/>
    <mergeCell ref="G54:H54"/>
    <mergeCell ref="I50:M50"/>
    <mergeCell ref="I51:M51"/>
    <mergeCell ref="B33:C33"/>
    <mergeCell ref="A64:C64"/>
    <mergeCell ref="A65:C65"/>
    <mergeCell ref="M42:Q42"/>
    <mergeCell ref="N43:O43"/>
    <mergeCell ref="P43:Q43"/>
    <mergeCell ref="N44:O44"/>
    <mergeCell ref="P44:Q44"/>
    <mergeCell ref="A55:C55"/>
    <mergeCell ref="A42:E42"/>
    <mergeCell ref="B44:C44"/>
    <mergeCell ref="D44:E44"/>
    <mergeCell ref="B43:C43"/>
    <mergeCell ref="H44:I44"/>
    <mergeCell ref="J44:K44"/>
    <mergeCell ref="B47:C47"/>
    <mergeCell ref="D43:E43"/>
    <mergeCell ref="D33:E33"/>
    <mergeCell ref="H33:I33"/>
    <mergeCell ref="G31:K31"/>
    <mergeCell ref="J33:K33"/>
    <mergeCell ref="B32:C32"/>
    <mergeCell ref="D32:E32"/>
    <mergeCell ref="H32:I32"/>
    <mergeCell ref="J32:K32"/>
    <mergeCell ref="I54:M54"/>
    <mergeCell ref="G50:H50"/>
    <mergeCell ref="G51:H51"/>
    <mergeCell ref="G52:H52"/>
    <mergeCell ref="I49:J49"/>
    <mergeCell ref="M49:N49"/>
    <mergeCell ref="P1:P2"/>
    <mergeCell ref="L33:M33"/>
    <mergeCell ref="J1:K1"/>
    <mergeCell ref="H3:H5"/>
    <mergeCell ref="H8:H9"/>
    <mergeCell ref="O3:O5"/>
    <mergeCell ref="O8:O9"/>
    <mergeCell ref="H10:H23"/>
    <mergeCell ref="L32:M32"/>
    <mergeCell ref="O6:O7"/>
    <mergeCell ref="H6:H7"/>
    <mergeCell ref="I3:I5"/>
    <mergeCell ref="J3:J5"/>
    <mergeCell ref="O22:O23"/>
    <mergeCell ref="O19:O21"/>
    <mergeCell ref="O49:P49"/>
    <mergeCell ref="G53:H53"/>
    <mergeCell ref="S42:W42"/>
    <mergeCell ref="I52:M52"/>
    <mergeCell ref="I53:M53"/>
    <mergeCell ref="Q19:R19"/>
    <mergeCell ref="Q20:R20"/>
    <mergeCell ref="Q21:R21"/>
    <mergeCell ref="Q23:R23"/>
    <mergeCell ref="O10:O11"/>
    <mergeCell ref="Q17:R17"/>
    <mergeCell ref="Q18:R18"/>
    <mergeCell ref="Q22:R22"/>
    <mergeCell ref="O12:O18"/>
  </mergeCells>
  <phoneticPr fontId="12" type="noConversion"/>
  <conditionalFormatting sqref="K57:T58 K59:K60">
    <cfRule type="expression" dxfId="1" priority="1">
      <formula>$M$12&lt;&gt;""</formula>
    </cfRule>
    <cfRule type="expression" dxfId="0" priority="2">
      <formula>$A$2="COMPILA IL CAMPO DELLA DATA"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46</vt:i4>
      </vt:variant>
    </vt:vector>
  </HeadingPairs>
  <TitlesOfParts>
    <vt:vector size="47" baseType="lpstr">
      <vt:lpstr>MODULO</vt:lpstr>
      <vt:lpstr>CARTELLINO!Area_stampa</vt:lpstr>
      <vt:lpstr>DATI!Area_stampa</vt:lpstr>
      <vt:lpstr>'dati immagini'!Area_stampa</vt:lpstr>
      <vt:lpstr>MODULO!Area_stampa</vt:lpstr>
      <vt:lpstr>art._1933</vt:lpstr>
      <vt:lpstr>art._1933ALLUMINIO_ANODIZZATO</vt:lpstr>
      <vt:lpstr>art._1933METAL_GREY</vt:lpstr>
      <vt:lpstr>art._1934</vt:lpstr>
      <vt:lpstr>art._1934ALLUMINIO_ANODIZZATO</vt:lpstr>
      <vt:lpstr>art._2020</vt:lpstr>
      <vt:lpstr>art._2020RAL_7016_GRIGIO_CHIARO</vt:lpstr>
      <vt:lpstr>art._2020RAL_7016_GRIGIO_SCURO</vt:lpstr>
      <vt:lpstr>art._3301</vt:lpstr>
      <vt:lpstr>art._3301ACCIAIO_ANODIZZATO</vt:lpstr>
      <vt:lpstr>art._3301ALLUMINIO_ANODIZZATO</vt:lpstr>
      <vt:lpstr>art._3301METAL_GREY</vt:lpstr>
      <vt:lpstr>art._3301NERO_OPACO_RAL_9005</vt:lpstr>
      <vt:lpstr>art._4004</vt:lpstr>
      <vt:lpstr>art._4004ALLUMINIO_ANODIZZATO</vt:lpstr>
      <vt:lpstr>art._AN008</vt:lpstr>
      <vt:lpstr>art._AN008ACCIAIO_ANODIZZATO</vt:lpstr>
      <vt:lpstr>art._AN008ALLUMINIO_ANODIZZATO</vt:lpstr>
      <vt:lpstr>art._AN008METAL_GREY</vt:lpstr>
      <vt:lpstr>art._AN008NERO_OPACO_RAL_9005</vt:lpstr>
      <vt:lpstr>art._AX24</vt:lpstr>
      <vt:lpstr>art._AX24_per_maniglia</vt:lpstr>
      <vt:lpstr>art._PB03</vt:lpstr>
      <vt:lpstr>art._PR20</vt:lpstr>
      <vt:lpstr>art._PR20ALLUMINIO_ANODIZZATO</vt:lpstr>
      <vt:lpstr>art._PR20METAL_GREY</vt:lpstr>
      <vt:lpstr>art._PR30</vt:lpstr>
      <vt:lpstr>art._PR30ALLUMINIO_GREZZO</vt:lpstr>
      <vt:lpstr>art._PR30METAL_GREY</vt:lpstr>
      <vt:lpstr>art._PR30MOONLIGHT</vt:lpstr>
      <vt:lpstr>CON_SUPPORTI_PER_CERNIERE?</vt:lpstr>
      <vt:lpstr>DARE_CERNIERE</vt:lpstr>
      <vt:lpstr>DS_20</vt:lpstr>
      <vt:lpstr>DS_30</vt:lpstr>
      <vt:lpstr>FINITURA_CERNIERE</vt:lpstr>
      <vt:lpstr>HETTICH_Sensys</vt:lpstr>
      <vt:lpstr>HETTICH_Sensys_PROFILO_STRETTO</vt:lpstr>
      <vt:lpstr>NO</vt:lpstr>
      <vt:lpstr>PR20_</vt:lpstr>
      <vt:lpstr>PR30_</vt:lpstr>
      <vt:lpstr>PROFILI</vt:lpstr>
      <vt:lpstr>SI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Enrico Rho</dc:creator>
  <cp:lastModifiedBy>Enrico Rho</cp:lastModifiedBy>
  <cp:lastPrinted>2025-07-25T15:24:07Z</cp:lastPrinted>
  <dcterms:created xsi:type="dcterms:W3CDTF">2002-03-18T16:27:24Z</dcterms:created>
  <dcterms:modified xsi:type="dcterms:W3CDTF">2026-03-10T16:24:10Z</dcterms:modified>
</cp:coreProperties>
</file>