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T:\MODULI EXCEL per CLIENTI\"/>
    </mc:Choice>
  </mc:AlternateContent>
  <xr:revisionPtr revIDLastSave="0" documentId="13_ncr:1_{F451C712-FE17-4FEA-845C-B2E27237A9D1}" xr6:coauthVersionLast="47" xr6:coauthVersionMax="47" xr10:uidLastSave="{00000000-0000-0000-0000-000000000000}"/>
  <workbookProtection workbookAlgorithmName="SHA-512" workbookHashValue="5q7ramBCPunNl7k8mOoIucqBPQZjqjgARc2vWbPjoPE+5HkeEgUtyVBQDf+We1XrYkSDY7CE1GT6rx8v9XBb2g==" workbookSaltValue="5mrcCVK9+2tWHGa5OWWccQ==" workbookSpinCount="100000" lockStructure="1"/>
  <bookViews>
    <workbookView xWindow="28692" yWindow="-3600" windowWidth="29016" windowHeight="16416" xr2:uid="{00000000-000D-0000-FFFF-FFFF00000000}"/>
  </bookViews>
  <sheets>
    <sheet name="MODULO" sheetId="4" r:id="rId1"/>
    <sheet name="DATI" sheetId="5" state="veryHidden" r:id="rId2"/>
    <sheet name="CARTELLINO" sheetId="1" state="veryHidden" r:id="rId3"/>
    <sheet name="Foglio1" sheetId="6" state="veryHidden" r:id="rId4"/>
  </sheets>
  <definedNames>
    <definedName name="_xlnm.Print_Area" localSheetId="2">CARTELLINO!$B$7:$K$106</definedName>
    <definedName name="_xlnm.Print_Area" localSheetId="0">MODULO!$B$1:$BG$49</definedName>
    <definedName name="COMPOSIZIONE">INDEX(DATI!$B$2:$B$16,MATCH(DATI!$A$1,DATI!$A$2:$A$16,0))</definedName>
    <definedName name="MANIGLIAa">INDEX(DATI!$N$2:$N$5,MATCH(DATI!$P$2,DATI!$O$2:$O$5,0))</definedName>
    <definedName name="MANIGLIAb">INDEX(DATI!$N$2:$N$5,MATCH(DATI!$P$3,DATI!$O$2:$O$5,0))</definedName>
    <definedName name="MANIGLIAc">IF(DATI!$P$4&lt;&gt;"",INDEX(DATI!$N$2:$N$5,MATCH(DATI!$P$4,DATI!$O$2:$O$5,0)),"D")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4" l="1"/>
  <c r="G14" i="6"/>
  <c r="H31" i="1"/>
  <c r="I31" i="1"/>
  <c r="C9" i="1"/>
  <c r="I104" i="1"/>
  <c r="L31" i="1"/>
  <c r="O31" i="1" s="1"/>
  <c r="V28" i="1"/>
  <c r="V29" i="1"/>
  <c r="V30" i="1"/>
  <c r="V31" i="1"/>
  <c r="V32" i="1"/>
  <c r="V33" i="1"/>
  <c r="V27" i="1"/>
  <c r="S28" i="1"/>
  <c r="S29" i="1"/>
  <c r="S30" i="1"/>
  <c r="S31" i="1"/>
  <c r="S32" i="1"/>
  <c r="S33" i="1"/>
  <c r="S27" i="1"/>
  <c r="K12" i="1" l="1"/>
  <c r="B11" i="1"/>
  <c r="P3" i="5"/>
  <c r="Y36" i="4" s="1"/>
  <c r="P2" i="5"/>
  <c r="S36" i="4" s="1"/>
  <c r="C3" i="5"/>
  <c r="D3" i="5"/>
  <c r="E3" i="5"/>
  <c r="F3" i="5"/>
  <c r="G3" i="5"/>
  <c r="C4" i="5"/>
  <c r="D4" i="5"/>
  <c r="E4" i="5"/>
  <c r="F4" i="5"/>
  <c r="G4" i="5"/>
  <c r="C5" i="5"/>
  <c r="D5" i="5"/>
  <c r="E5" i="5"/>
  <c r="F5" i="5"/>
  <c r="G5" i="5"/>
  <c r="C6" i="5"/>
  <c r="D6" i="5"/>
  <c r="E6" i="5"/>
  <c r="F6" i="5"/>
  <c r="G6" i="5"/>
  <c r="C7" i="5"/>
  <c r="D7" i="5"/>
  <c r="E7" i="5"/>
  <c r="F7" i="5"/>
  <c r="G7" i="5"/>
  <c r="C8" i="5"/>
  <c r="D8" i="5"/>
  <c r="E8" i="5"/>
  <c r="F8" i="5"/>
  <c r="G8" i="5"/>
  <c r="C9" i="5"/>
  <c r="D9" i="5"/>
  <c r="E9" i="5"/>
  <c r="F9" i="5"/>
  <c r="G9" i="5"/>
  <c r="C10" i="5"/>
  <c r="D10" i="5"/>
  <c r="E10" i="5"/>
  <c r="F10" i="5"/>
  <c r="G10" i="5"/>
  <c r="C11" i="5"/>
  <c r="D11" i="5"/>
  <c r="E11" i="5"/>
  <c r="F11" i="5"/>
  <c r="G11" i="5"/>
  <c r="C12" i="5"/>
  <c r="D12" i="5"/>
  <c r="E12" i="5"/>
  <c r="F12" i="5"/>
  <c r="G12" i="5"/>
  <c r="C13" i="5"/>
  <c r="D13" i="5"/>
  <c r="E13" i="5"/>
  <c r="F13" i="5"/>
  <c r="G13" i="5"/>
  <c r="C14" i="5"/>
  <c r="D14" i="5"/>
  <c r="E14" i="5"/>
  <c r="F14" i="5"/>
  <c r="G14" i="5"/>
  <c r="C15" i="5"/>
  <c r="D15" i="5"/>
  <c r="E15" i="5"/>
  <c r="F15" i="5"/>
  <c r="G15" i="5"/>
  <c r="E2" i="5"/>
  <c r="J2" i="5"/>
  <c r="G2" i="5"/>
  <c r="F2" i="5"/>
  <c r="D2" i="5"/>
  <c r="C2" i="5"/>
  <c r="BE21" i="4"/>
  <c r="N32" i="1"/>
  <c r="N31" i="1"/>
  <c r="L32" i="1"/>
  <c r="H90" i="1"/>
  <c r="H82" i="1"/>
  <c r="H75" i="1"/>
  <c r="H45" i="1"/>
  <c r="B35" i="1"/>
  <c r="C35" i="1"/>
  <c r="J30" i="1"/>
  <c r="K28" i="1"/>
  <c r="K27" i="1"/>
  <c r="J101" i="1" s="1"/>
  <c r="C33" i="1"/>
  <c r="O37" i="1" s="1"/>
  <c r="F32" i="1"/>
  <c r="F31" i="1"/>
  <c r="D32" i="1"/>
  <c r="D31" i="1"/>
  <c r="D30" i="1"/>
  <c r="G21" i="1"/>
  <c r="I9" i="1"/>
  <c r="I8" i="1"/>
  <c r="C8" i="1"/>
  <c r="C7" i="1"/>
  <c r="K26" i="1"/>
  <c r="AG19" i="4"/>
  <c r="AA21" i="4"/>
  <c r="AA19" i="4"/>
  <c r="S19" i="4"/>
  <c r="D35" i="1" s="1"/>
  <c r="B45" i="4"/>
  <c r="O3" i="4" s="1"/>
  <c r="D38" i="1" l="1"/>
  <c r="L34" i="1"/>
  <c r="O34" i="1" s="1"/>
  <c r="L33" i="1"/>
  <c r="O33" i="1" s="1"/>
  <c r="K25" i="1"/>
  <c r="K30" i="1"/>
  <c r="H15" i="5"/>
  <c r="H4" i="5"/>
  <c r="H6" i="5"/>
  <c r="H13" i="5"/>
  <c r="H11" i="5"/>
  <c r="H14" i="5"/>
  <c r="H9" i="5"/>
  <c r="H12" i="5"/>
  <c r="H3" i="5"/>
  <c r="H5" i="5"/>
  <c r="H8" i="5"/>
  <c r="H7" i="5"/>
  <c r="H10" i="5"/>
  <c r="AA17" i="4"/>
  <c r="AA15" i="4"/>
  <c r="O99" i="1" l="1"/>
  <c r="O96" i="1" l="1"/>
  <c r="N107" i="1"/>
  <c r="N106" i="1"/>
  <c r="O30" i="1"/>
  <c r="O105" i="1" s="1"/>
  <c r="O106" i="1" l="1"/>
  <c r="L106" i="1"/>
  <c r="O32" i="1"/>
  <c r="O107" i="1" s="1"/>
  <c r="L107" i="1"/>
  <c r="H68" i="1"/>
  <c r="N68" i="1" s="1"/>
  <c r="O69" i="1" l="1"/>
  <c r="M68" i="1"/>
  <c r="P31" i="1"/>
  <c r="P106" i="1" s="1"/>
  <c r="P32" i="1"/>
  <c r="P107" i="1" s="1"/>
  <c r="N100" i="1"/>
  <c r="P100" i="1" s="1"/>
  <c r="N101" i="1"/>
  <c r="J99" i="1"/>
  <c r="N99" i="1" s="1"/>
  <c r="P99" i="1" s="1"/>
  <c r="N34" i="1"/>
  <c r="N109" i="1" s="1"/>
  <c r="N33" i="1"/>
  <c r="N108" i="1" s="1"/>
  <c r="L104" i="1"/>
  <c r="O108" i="1" l="1"/>
  <c r="L108" i="1"/>
  <c r="O109" i="1"/>
  <c r="L109" i="1"/>
  <c r="N96" i="1"/>
  <c r="P96" i="1" s="1"/>
  <c r="H61" i="1"/>
  <c r="S3" i="5"/>
  <c r="S2" i="5"/>
  <c r="O62" i="1" l="1"/>
  <c r="P33" i="1"/>
  <c r="P108" i="1" s="1"/>
  <c r="P34" i="1"/>
  <c r="P109" i="1" s="1"/>
  <c r="H52" i="1"/>
  <c r="O68" i="1"/>
  <c r="H102" i="1"/>
  <c r="H105" i="1"/>
  <c r="I45" i="1"/>
  <c r="N45" i="1" s="1"/>
  <c r="L30" i="1"/>
  <c r="N30" i="1" s="1"/>
  <c r="P101" i="1"/>
  <c r="K98" i="1"/>
  <c r="I75" i="1"/>
  <c r="N75" i="1" s="1"/>
  <c r="K75" i="1"/>
  <c r="J75" i="1" s="1"/>
  <c r="K82" i="1"/>
  <c r="J82" i="1" s="1"/>
  <c r="K90" i="1"/>
  <c r="J90" i="1" s="1"/>
  <c r="J98" i="1"/>
  <c r="L105" i="1" l="1"/>
  <c r="O53" i="1"/>
  <c r="I82" i="1"/>
  <c r="N82" i="1" s="1"/>
  <c r="L75" i="1"/>
  <c r="M75" i="1"/>
  <c r="M45" i="1"/>
  <c r="I52" i="1"/>
  <c r="M52" i="1" s="1"/>
  <c r="H104" i="1"/>
  <c r="H101" i="1"/>
  <c r="N37" i="1" s="1"/>
  <c r="P37" i="1" s="1"/>
  <c r="I61" i="1"/>
  <c r="N61" i="1" s="1"/>
  <c r="K45" i="1"/>
  <c r="J45" i="1" s="1"/>
  <c r="M2" i="5"/>
  <c r="P4" i="5" s="1"/>
  <c r="AE36" i="4" s="1"/>
  <c r="K2" i="5"/>
  <c r="H2" i="5"/>
  <c r="L2" i="5"/>
  <c r="L3" i="5"/>
  <c r="L4" i="5"/>
  <c r="L5" i="5"/>
  <c r="K5" i="5"/>
  <c r="N52" i="1" l="1"/>
  <c r="O52" i="1" s="1"/>
  <c r="P30" i="1"/>
  <c r="P105" i="1" s="1"/>
  <c r="N105" i="1"/>
  <c r="O75" i="1"/>
  <c r="I90" i="1"/>
  <c r="M82" i="1"/>
  <c r="L82" i="1"/>
  <c r="O45" i="1"/>
  <c r="K61" i="1"/>
  <c r="J61" i="1" s="1"/>
  <c r="K52" i="1"/>
  <c r="J52" i="1" s="1"/>
  <c r="S5" i="5"/>
  <c r="H1" i="5"/>
  <c r="H16" i="5"/>
  <c r="J33" i="1" l="1"/>
  <c r="N90" i="1"/>
  <c r="K33" i="1"/>
  <c r="O82" i="1"/>
  <c r="L90" i="1"/>
  <c r="M90" i="1"/>
  <c r="O61" i="1"/>
  <c r="A1" i="5"/>
  <c r="O90" i="1" l="1"/>
  <c r="P102" i="1" s="1"/>
  <c r="AC17" i="4" l="1"/>
  <c r="P104" i="1"/>
  <c r="P27" i="1"/>
  <c r="O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Enrico Rho</author>
  </authors>
  <commentList>
    <comment ref="G14" authorId="0" shapeId="0" xr:uid="{DEFEB3AC-AD20-40E8-BE19-70D101D1C710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TAGLIATO A MISURA
</t>
        </r>
      </text>
    </comment>
  </commentList>
</comments>
</file>

<file path=xl/sharedStrings.xml><?xml version="1.0" encoding="utf-8"?>
<sst xmlns="http://schemas.openxmlformats.org/spreadsheetml/2006/main" count="343" uniqueCount="242">
  <si>
    <t>A</t>
  </si>
  <si>
    <t>B</t>
  </si>
  <si>
    <t>C</t>
  </si>
  <si>
    <t>N° Pezzi</t>
  </si>
  <si>
    <t>Dimensione Anta</t>
  </si>
  <si>
    <t>Base :</t>
  </si>
  <si>
    <t>Altezza :</t>
  </si>
  <si>
    <t>Descrizione Profili</t>
  </si>
  <si>
    <t>Codice</t>
  </si>
  <si>
    <t>N° Vg.</t>
  </si>
  <si>
    <t>Pz. X Vg</t>
  </si>
  <si>
    <t>Taglio  mm</t>
  </si>
  <si>
    <t>PR1970010A</t>
  </si>
  <si>
    <t>Montante maniglia alta</t>
  </si>
  <si>
    <t>PR1970012A</t>
  </si>
  <si>
    <t>Descrizione</t>
  </si>
  <si>
    <t>Taglio</t>
  </si>
  <si>
    <t>DZ0500053000</t>
  </si>
  <si>
    <t>BR20501001</t>
  </si>
  <si>
    <t>Barra M5</t>
  </si>
  <si>
    <t>Set Raddrizza Porte</t>
  </si>
  <si>
    <t>Altezza</t>
  </si>
  <si>
    <t>mm</t>
  </si>
  <si>
    <t>D</t>
  </si>
  <si>
    <t>CLIENTE :</t>
  </si>
  <si>
    <t>DATA ORDINE :</t>
  </si>
  <si>
    <t>CONSEGNA :</t>
  </si>
  <si>
    <t>RIF. :</t>
  </si>
  <si>
    <t>Numero Traversini a VISTA:</t>
  </si>
  <si>
    <t>Numero Traversini VERTICALI :</t>
  </si>
  <si>
    <t>Carter di copertura:</t>
  </si>
  <si>
    <t>Traversino NASCOSTO</t>
  </si>
  <si>
    <t>Traversino a VISTA</t>
  </si>
  <si>
    <t>Traverso SUP. / INF.</t>
  </si>
  <si>
    <t>Traversino VERTICALE</t>
  </si>
  <si>
    <t>PR197000024A</t>
  </si>
  <si>
    <t>PR1970021A</t>
  </si>
  <si>
    <t>Montante SENZA MANIGLIA</t>
  </si>
  <si>
    <t>Montante MANIGLIA BASSA</t>
  </si>
  <si>
    <t>PR197000022A</t>
  </si>
  <si>
    <t>PR197000028A</t>
  </si>
  <si>
    <t>ATTENZIONE DENTE 5X10 PER TRAVERSINO NUOVO</t>
  </si>
  <si>
    <t>Larghezza</t>
  </si>
  <si>
    <t>Numero Traversini NASCOSTI :</t>
  </si>
  <si>
    <t xml:space="preserve">Raddrizza Porte </t>
  </si>
  <si>
    <t>RAGIONE SOCIALE :</t>
  </si>
  <si>
    <t>CITTA' :</t>
  </si>
  <si>
    <t>RIFERIMENTO :</t>
  </si>
  <si>
    <t>FINITURA :</t>
  </si>
  <si>
    <t>AMMORTIZZATE :</t>
  </si>
  <si>
    <t>SI</t>
  </si>
  <si>
    <t>MONTATE :</t>
  </si>
  <si>
    <t>N° ARMADI UGUALI :</t>
  </si>
  <si>
    <t>H (cappello e basamento compresi) :</t>
  </si>
  <si>
    <t>L (spalle comprese) :</t>
  </si>
  <si>
    <t>N° ANTE :</t>
  </si>
  <si>
    <t>SX</t>
  </si>
  <si>
    <t>A VISTA</t>
  </si>
  <si>
    <t>CARTER DI COPERTURA :</t>
  </si>
  <si>
    <t>VETRO :</t>
  </si>
  <si>
    <t>TIPOLOGIA TRAVERSINI :</t>
  </si>
  <si>
    <t>SENSO DI APERTURA ANTA ESTERNA :</t>
  </si>
  <si>
    <t>N° TRAVERSINI :</t>
  </si>
  <si>
    <t>N° MANIGLIE :  ( A )</t>
  </si>
  <si>
    <t>N° MANIGLIE CON CHIUSURA : ( C )</t>
  </si>
  <si>
    <t>NOTE :</t>
  </si>
  <si>
    <t>2ANTE  1A2B1C  DX</t>
  </si>
  <si>
    <t>2ANTE  1A2B1C  SX</t>
  </si>
  <si>
    <t>2ANTE  2A1B1C  DX</t>
  </si>
  <si>
    <t>2ANTE  2A1B1C  SX</t>
  </si>
  <si>
    <t>2ANTE  2A2B  DX</t>
  </si>
  <si>
    <t>2ANTE  2A2B  SX</t>
  </si>
  <si>
    <t>2ANTE  3A1B  DX</t>
  </si>
  <si>
    <t>2ANTE  3A1B  SX</t>
  </si>
  <si>
    <t>3ANTE  2A4B  DX</t>
  </si>
  <si>
    <t>3ANTE  2A4B  SX</t>
  </si>
  <si>
    <t>3ANTE  3A3B  DX</t>
  </si>
  <si>
    <t>3ANTE  3A3B  SX</t>
  </si>
  <si>
    <t>3ANTE  4A2B  DX</t>
  </si>
  <si>
    <t>3ANTE  4A2B  SX</t>
  </si>
  <si>
    <t>PREZZI GIA' TEMPERATI O CON PELLICOLA</t>
  </si>
  <si>
    <t>TRASPARENTE</t>
  </si>
  <si>
    <t>TRASPARENTE EXTRACHIARO</t>
  </si>
  <si>
    <t>TRASPARENTE EXTRACHIARO LACCATO RAL</t>
  </si>
  <si>
    <t>SATINATO</t>
  </si>
  <si>
    <t>SATINATO FUME'</t>
  </si>
  <si>
    <t>SATINATO BRONZO</t>
  </si>
  <si>
    <t>SATINATO EXTRACHIARO</t>
  </si>
  <si>
    <r>
      <rPr>
        <sz val="11"/>
        <color indexed="8"/>
        <rFont val="Calibri"/>
        <family val="2"/>
      </rPr>
      <t xml:space="preserve">€ VETRO </t>
    </r>
    <r>
      <rPr>
        <sz val="10"/>
        <rFont val="Arial"/>
        <family val="2"/>
      </rPr>
      <t>MQ</t>
    </r>
  </si>
  <si>
    <t>SATINATO EXTRACHIARO LACCATO RAL</t>
  </si>
  <si>
    <t>FUME'</t>
  </si>
  <si>
    <t>BRONZO</t>
  </si>
  <si>
    <t>STOPSOL FUME'</t>
  </si>
  <si>
    <t>STOPSOL BRONZO</t>
  </si>
  <si>
    <t>SPECCHIO FUME'</t>
  </si>
  <si>
    <t>SPECCHIO BRONZO</t>
  </si>
  <si>
    <t>SPECCHIO</t>
  </si>
  <si>
    <t>€ / M</t>
  </si>
  <si>
    <t>€ / TOT.</t>
  </si>
  <si>
    <t>€ / GUARN.</t>
  </si>
  <si>
    <t>€ / ALL.</t>
  </si>
  <si>
    <t>MONTAGGIO</t>
  </si>
  <si>
    <t>LAVORAZIONE</t>
  </si>
  <si>
    <t>N° ANTE</t>
  </si>
  <si>
    <t>SPESSORE mm</t>
  </si>
  <si>
    <t>LACOBEL</t>
  </si>
  <si>
    <t>ALLUMINIO</t>
  </si>
  <si>
    <t>METAL GREY</t>
  </si>
  <si>
    <t>DX</t>
  </si>
  <si>
    <t>NASCOSTI</t>
  </si>
  <si>
    <t>NO</t>
  </si>
  <si>
    <t>ANTE</t>
  </si>
  <si>
    <t>SENSO</t>
  </si>
  <si>
    <t>Binario SUPERIORE :</t>
  </si>
  <si>
    <t>Binario INFERIORE :</t>
  </si>
  <si>
    <t>Maniglia A</t>
  </si>
  <si>
    <t>Maniglia B</t>
  </si>
  <si>
    <t>Maniglia C</t>
  </si>
  <si>
    <t>C/VETRO</t>
  </si>
  <si>
    <t>C/LEGNO SP.10mm</t>
  </si>
  <si>
    <t>Peso ANTA indicativo :</t>
  </si>
  <si>
    <t>Vetri SP. 4 mm</t>
  </si>
  <si>
    <t>Pannelli SP. 10 mm</t>
  </si>
  <si>
    <t>MISURA del BINARIO (sopra e sotto) :</t>
  </si>
  <si>
    <t>N° BINARI (la coppia)</t>
  </si>
  <si>
    <t>CANNETTATO VERTICALE</t>
  </si>
  <si>
    <t>CANNETTATO ORIZZONTALE</t>
  </si>
  <si>
    <t>N°</t>
  </si>
  <si>
    <t>vetri</t>
  </si>
  <si>
    <t>PS19</t>
  </si>
  <si>
    <t>NETTO ALL.</t>
  </si>
  <si>
    <t>NETTO M.G.</t>
  </si>
  <si>
    <t>PS193</t>
  </si>
  <si>
    <t>MONTANTE LATERALE (no maniglia)</t>
  </si>
  <si>
    <t>mtl</t>
  </si>
  <si>
    <t>PS19MGM</t>
  </si>
  <si>
    <t>PS194</t>
  </si>
  <si>
    <t>MONTANTE MANIGLIA</t>
  </si>
  <si>
    <t>PS19MGMM</t>
  </si>
  <si>
    <t>PS194C</t>
  </si>
  <si>
    <t>MONT. MANIGLIA C/CHIUSURA LATERALE</t>
  </si>
  <si>
    <t>PS19MGMC</t>
  </si>
  <si>
    <t>PS191</t>
  </si>
  <si>
    <t>TRAVERSO SUPERIORE/INFERIORE</t>
  </si>
  <si>
    <t>PS19MGT</t>
  </si>
  <si>
    <t>PS192</t>
  </si>
  <si>
    <t>TRAVERSINO CENTRALE</t>
  </si>
  <si>
    <t>PS19MGT1</t>
  </si>
  <si>
    <t>PS1921</t>
  </si>
  <si>
    <t>TRAVERSINO CENTRALE NASCOSTO</t>
  </si>
  <si>
    <t>PS19MGTN</t>
  </si>
  <si>
    <t>PS196</t>
  </si>
  <si>
    <t xml:space="preserve">CONF.STAFFE X 1 ANTA </t>
  </si>
  <si>
    <t>PS197</t>
  </si>
  <si>
    <t>CONF.STAFFE X 1 TRAVERSINO</t>
  </si>
  <si>
    <t>PS195</t>
  </si>
  <si>
    <t>GUARNIZIONE PER VETRO</t>
  </si>
  <si>
    <t>PS199</t>
  </si>
  <si>
    <t xml:space="preserve">PROFILO SPAZZOLINO </t>
  </si>
  <si>
    <t>PS48C</t>
  </si>
  <si>
    <t>-CARTER DI COPERTURA MM.3050</t>
  </si>
  <si>
    <t>Vendita netto:€ 16,98</t>
  </si>
  <si>
    <t>PS198</t>
  </si>
  <si>
    <t>-SET RADDRIZZA ANTA</t>
  </si>
  <si>
    <t>(1 coppia)</t>
  </si>
  <si>
    <t>montaggio traversi compreso</t>
  </si>
  <si>
    <t>lunghezza</t>
  </si>
  <si>
    <t>codice</t>
  </si>
  <si>
    <t>PS48S20</t>
  </si>
  <si>
    <t>PS48S25</t>
  </si>
  <si>
    <t>PS48S15</t>
  </si>
  <si>
    <t>PS48S30</t>
  </si>
  <si>
    <t>PS48S35</t>
  </si>
  <si>
    <t>PS48S40</t>
  </si>
  <si>
    <t>PS48S60</t>
  </si>
  <si>
    <t>PS10I15</t>
  </si>
  <si>
    <t>PS10I20</t>
  </si>
  <si>
    <t>PS10I25</t>
  </si>
  <si>
    <t>PS10I30</t>
  </si>
  <si>
    <t>PS10I35</t>
  </si>
  <si>
    <t>PS10I40</t>
  </si>
  <si>
    <t>PS10I60</t>
  </si>
  <si>
    <r>
      <rPr>
        <sz val="10"/>
        <rFont val="Calibri"/>
        <family val="2"/>
      </rPr>
      <t>€</t>
    </r>
    <r>
      <rPr>
        <sz val="10"/>
        <rFont val="Arial"/>
        <family val="2"/>
      </rPr>
      <t xml:space="preserve"> superiore</t>
    </r>
  </si>
  <si>
    <t>€ inferiore</t>
  </si>
  <si>
    <t>TOT. MQ</t>
  </si>
  <si>
    <t>€ TOT. VETRI</t>
  </si>
  <si>
    <t>€ / CAD.</t>
  </si>
  <si>
    <t>N°PZ</t>
  </si>
  <si>
    <t>B.superiore</t>
  </si>
  <si>
    <t>B.inferiore</t>
  </si>
  <si>
    <t>COD.</t>
  </si>
  <si>
    <t>descrizione</t>
  </si>
  <si>
    <t>KIT 2 ANTE SPESSORE ANTA FINO A 28mm</t>
  </si>
  <si>
    <t>KIT 3 ANTE SPESSORE ANTA FINO A 28mm</t>
  </si>
  <si>
    <t>SOFT 2 ANTE</t>
  </si>
  <si>
    <t>SOFT 3 ANTE</t>
  </si>
  <si>
    <t>PS48AMM2</t>
  </si>
  <si>
    <t>PS48AMM3</t>
  </si>
  <si>
    <t>SET Raddrizza ante</t>
  </si>
  <si>
    <t>€ / SPAZZ.</t>
  </si>
  <si>
    <t>ANTE SCORREVOLI PS 19  ( scrivere MISURE in mm )</t>
  </si>
  <si>
    <t>N° CONTROMANIGLIE :  ( B )</t>
  </si>
  <si>
    <t>mm , N° PZ</t>
  </si>
  <si>
    <t>CODICE</t>
  </si>
  <si>
    <t>UNITA'</t>
  </si>
  <si>
    <t>Set ammortizzatori</t>
  </si>
  <si>
    <t>Set ammortizzatore</t>
  </si>
  <si>
    <t>PS 19</t>
  </si>
  <si>
    <t>PS482</t>
  </si>
  <si>
    <t>PS483</t>
  </si>
  <si>
    <t>PS48S</t>
  </si>
  <si>
    <t>BINARIO SUPERIORE AN</t>
  </si>
  <si>
    <t>PS10I</t>
  </si>
  <si>
    <t>BINARIO INFERIORE AN</t>
  </si>
  <si>
    <t>cad.</t>
  </si>
  <si>
    <t>Carter di copertura</t>
  </si>
  <si>
    <t>NO VETRO, NON DARE GUARNIZIONI PER VETRO</t>
  </si>
  <si>
    <t>NO VETRO, DARE GUARNIZIONI PER VETRO</t>
  </si>
  <si>
    <t>PS48SN</t>
  </si>
  <si>
    <t>PS10IN</t>
  </si>
  <si>
    <t>PS48SN15</t>
  </si>
  <si>
    <t>PS48SN20</t>
  </si>
  <si>
    <t>PS48SN25</t>
  </si>
  <si>
    <t>PS48SN30</t>
  </si>
  <si>
    <t>PS48SN35</t>
  </si>
  <si>
    <t>PS48SN40</t>
  </si>
  <si>
    <t>PS48SN60</t>
  </si>
  <si>
    <t>PS10IN15</t>
  </si>
  <si>
    <t>PS10IN20</t>
  </si>
  <si>
    <t>PS10IN25</t>
  </si>
  <si>
    <t>PS10IN30</t>
  </si>
  <si>
    <t>PS10IN35</t>
  </si>
  <si>
    <t>PS10IN40</t>
  </si>
  <si>
    <t>PS10IN60</t>
  </si>
  <si>
    <t>RITIRA CLIENTE</t>
  </si>
  <si>
    <t>CONSEGNA VPA</t>
  </si>
  <si>
    <t>IMBALLO CORRIERE VPA</t>
  </si>
  <si>
    <t>IMBALLO CORRIERE DEL CLIENTE</t>
  </si>
  <si>
    <t>AL PRONTO :</t>
  </si>
  <si>
    <t>N°Pezzi</t>
  </si>
  <si>
    <t>Vendita netto:€ 26,68</t>
  </si>
  <si>
    <t>PS 19 V.7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</si>
</sst>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[$€]\ * #,##0.00_-;\-[$€]\ * #,##0.00_-;_-[$€]\ * &quot;-&quot;??_-;_-@_-"/>
    <numFmt numFmtId="166" formatCode="&quot;€&quot;\ #,##0.00"/>
    <numFmt numFmtId="167" formatCode="[$€-2]\ #,##0.00;[Red]\-[$€-2]\ #,##0.00"/>
  </numFmts>
  <fonts count="38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6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20"/>
      <name val="Arial"/>
      <family val="2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20"/>
      <name val="Arial"/>
      <family val="2"/>
    </font>
    <font>
      <sz val="26"/>
      <name val="Arial"/>
      <family val="2"/>
    </font>
    <font>
      <sz val="22"/>
      <name val="Arial"/>
      <family val="2"/>
    </font>
    <font>
      <b/>
      <i/>
      <sz val="14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3"/>
      <name val="Arial"/>
      <family val="2"/>
    </font>
    <font>
      <sz val="36"/>
      <name val="Arial"/>
      <family val="2"/>
    </font>
    <font>
      <b/>
      <sz val="26"/>
      <name val="Verdana"/>
      <family val="2"/>
    </font>
    <font>
      <sz val="12"/>
      <name val="Times New Roman"/>
      <family val="1"/>
    </font>
    <font>
      <sz val="9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gradientFill degree="225">
        <stop position="0">
          <color theme="0"/>
        </stop>
        <stop position="1">
          <color rgb="FF99FF66"/>
        </stop>
      </gradientFill>
    </fill>
    <fill>
      <patternFill patternType="solid">
        <fgColor theme="3" tint="0.59999389629810485"/>
        <bgColor indexed="64"/>
      </patternFill>
    </fill>
    <fill>
      <gradientFill>
        <stop position="0">
          <color theme="0"/>
        </stop>
        <stop position="1">
          <color theme="0" tint="-0.1490218817712943"/>
        </stop>
      </gradient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46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0" fillId="0" borderId="0" xfId="0" applyNumberFormat="1"/>
    <xf numFmtId="0" fontId="6" fillId="0" borderId="0" xfId="0" applyFont="1"/>
    <xf numFmtId="1" fontId="0" fillId="0" borderId="0" xfId="0" applyNumberFormat="1" applyAlignment="1">
      <alignment horizontal="center" vertical="center"/>
    </xf>
    <xf numFmtId="1" fontId="6" fillId="0" borderId="0" xfId="0" applyNumberFormat="1" applyFont="1"/>
    <xf numFmtId="0" fontId="0" fillId="0" borderId="12" xfId="0" applyBorder="1"/>
    <xf numFmtId="0" fontId="6" fillId="0" borderId="12" xfId="0" applyFont="1" applyBorder="1" applyAlignment="1">
      <alignment horizontal="center" vertical="center"/>
    </xf>
    <xf numFmtId="0" fontId="0" fillId="7" borderId="12" xfId="0" applyFill="1" applyBorder="1"/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6" fillId="0" borderId="0" xfId="0" applyFont="1" applyAlignment="1">
      <alignment vertical="center"/>
    </xf>
    <xf numFmtId="4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24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4" fillId="9" borderId="29" xfId="0" applyFont="1" applyFill="1" applyBorder="1" applyProtection="1">
      <protection locked="0"/>
    </xf>
    <xf numFmtId="0" fontId="6" fillId="9" borderId="29" xfId="0" applyFont="1" applyFill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29" xfId="0" applyFont="1" applyBorder="1" applyAlignment="1" applyProtection="1">
      <alignment horizontal="right"/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165" fontId="6" fillId="0" borderId="29" xfId="1" applyFont="1" applyBorder="1" applyProtection="1">
      <protection locked="0"/>
    </xf>
    <xf numFmtId="166" fontId="6" fillId="0" borderId="31" xfId="0" applyNumberFormat="1" applyFont="1" applyBorder="1" applyAlignment="1">
      <alignment horizontal="center"/>
    </xf>
    <xf numFmtId="166" fontId="6" fillId="0" borderId="15" xfId="0" applyNumberFormat="1" applyFont="1" applyBorder="1" applyAlignment="1">
      <alignment horizontal="center"/>
    </xf>
    <xf numFmtId="167" fontId="14" fillId="0" borderId="29" xfId="0" applyNumberFormat="1" applyFont="1" applyBorder="1" applyAlignment="1" applyProtection="1">
      <alignment horizontal="left"/>
      <protection locked="0"/>
    </xf>
    <xf numFmtId="165" fontId="6" fillId="0" borderId="30" xfId="1" applyFont="1" applyBorder="1" applyProtection="1">
      <protection locked="0"/>
    </xf>
    <xf numFmtId="166" fontId="6" fillId="0" borderId="32" xfId="0" applyNumberFormat="1" applyFont="1" applyBorder="1" applyAlignment="1">
      <alignment horizontal="center"/>
    </xf>
    <xf numFmtId="166" fontId="6" fillId="0" borderId="33" xfId="0" applyNumberFormat="1" applyFont="1" applyBorder="1" applyAlignment="1">
      <alignment horizontal="center"/>
    </xf>
    <xf numFmtId="167" fontId="14" fillId="0" borderId="30" xfId="0" applyNumberFormat="1" applyFont="1" applyBorder="1" applyAlignment="1" applyProtection="1">
      <alignment horizontal="left"/>
      <protection locked="0"/>
    </xf>
    <xf numFmtId="166" fontId="6" fillId="0" borderId="11" xfId="0" applyNumberFormat="1" applyFont="1" applyBorder="1" applyAlignment="1">
      <alignment horizontal="center"/>
    </xf>
    <xf numFmtId="167" fontId="14" fillId="0" borderId="30" xfId="0" applyNumberFormat="1" applyFont="1" applyBorder="1" applyAlignment="1" applyProtection="1">
      <alignment horizontal="center"/>
      <protection locked="0"/>
    </xf>
    <xf numFmtId="166" fontId="6" fillId="0" borderId="34" xfId="0" applyNumberFormat="1" applyFont="1" applyBorder="1" applyAlignment="1">
      <alignment horizontal="center"/>
    </xf>
    <xf numFmtId="0" fontId="6" fillId="0" borderId="30" xfId="0" quotePrefix="1" applyFont="1" applyBorder="1" applyProtection="1">
      <protection locked="0"/>
    </xf>
    <xf numFmtId="0" fontId="27" fillId="0" borderId="30" xfId="0" applyFont="1" applyBorder="1" applyProtection="1">
      <protection locked="0"/>
    </xf>
    <xf numFmtId="0" fontId="27" fillId="0" borderId="0" xfId="0" applyFont="1" applyProtection="1">
      <protection locked="0"/>
    </xf>
    <xf numFmtId="165" fontId="6" fillId="0" borderId="0" xfId="1" applyFont="1" applyProtection="1">
      <protection locked="0"/>
    </xf>
    <xf numFmtId="0" fontId="27" fillId="0" borderId="39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0" xfId="0" quotePrefix="1" applyFont="1" applyProtection="1"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14" fillId="0" borderId="2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7" fillId="2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0" fillId="2" borderId="0" xfId="0" applyNumberFormat="1" applyFill="1"/>
    <xf numFmtId="0" fontId="0" fillId="2" borderId="1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5" xfId="0" applyFill="1" applyBorder="1"/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20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5" borderId="36" xfId="0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6" fillId="6" borderId="6" xfId="0" applyFont="1" applyFill="1" applyBorder="1"/>
    <xf numFmtId="0" fontId="2" fillId="0" borderId="6" xfId="0" applyFont="1" applyBorder="1" applyAlignment="1">
      <alignment vertical="center"/>
    </xf>
    <xf numFmtId="2" fontId="0" fillId="2" borderId="6" xfId="0" applyNumberForma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6" fillId="6" borderId="6" xfId="0" applyFont="1" applyFill="1" applyBorder="1" applyAlignment="1">
      <alignment horizontal="left"/>
    </xf>
    <xf numFmtId="0" fontId="3" fillId="2" borderId="0" xfId="0" applyFont="1" applyFill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0" borderId="0" xfId="0" applyFont="1"/>
    <xf numFmtId="164" fontId="3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7" xfId="0" applyFont="1" applyFill="1" applyBorder="1"/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15" fillId="5" borderId="38" xfId="0" applyFont="1" applyFill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4" fillId="2" borderId="0" xfId="0" applyFont="1" applyFill="1"/>
    <xf numFmtId="0" fontId="26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29" xfId="0" applyFont="1" applyBorder="1" applyAlignment="1">
      <alignment horizontal="left"/>
    </xf>
    <xf numFmtId="0" fontId="6" fillId="0" borderId="29" xfId="0" applyFont="1" applyBorder="1"/>
    <xf numFmtId="0" fontId="6" fillId="0" borderId="29" xfId="0" applyFont="1" applyBorder="1" applyAlignment="1">
      <alignment horizontal="right"/>
    </xf>
    <xf numFmtId="0" fontId="6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0" fontId="6" fillId="0" borderId="39" xfId="0" applyFont="1" applyBorder="1"/>
    <xf numFmtId="0" fontId="6" fillId="0" borderId="39" xfId="0" applyFont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9" fillId="2" borderId="15" xfId="0" applyNumberFormat="1" applyFont="1" applyFill="1" applyBorder="1"/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2" fontId="9" fillId="2" borderId="52" xfId="0" applyNumberFormat="1" applyFont="1" applyFill="1" applyBorder="1" applyAlignment="1">
      <alignment horizontal="center"/>
    </xf>
    <xf numFmtId="2" fontId="6" fillId="2" borderId="0" xfId="0" applyNumberFormat="1" applyFont="1" applyFill="1"/>
    <xf numFmtId="0" fontId="6" fillId="0" borderId="53" xfId="0" applyFont="1" applyBorder="1" applyAlignment="1">
      <alignment horizontal="right" vertical="center"/>
    </xf>
    <xf numFmtId="0" fontId="6" fillId="2" borderId="27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56" xfId="0" applyFont="1" applyBorder="1" applyAlignment="1">
      <alignment horizontal="right" vertical="center"/>
    </xf>
    <xf numFmtId="49" fontId="6" fillId="2" borderId="57" xfId="0" applyNumberFormat="1" applyFont="1" applyFill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49" fontId="6" fillId="0" borderId="40" xfId="0" applyNumberFormat="1" applyFont="1" applyBorder="1" applyAlignment="1">
      <alignment vertical="center"/>
    </xf>
    <xf numFmtId="49" fontId="6" fillId="0" borderId="46" xfId="0" applyNumberFormat="1" applyFont="1" applyBorder="1" applyAlignment="1">
      <alignment vertical="center"/>
    </xf>
    <xf numFmtId="0" fontId="2" fillId="0" borderId="0" xfId="0" applyFont="1"/>
    <xf numFmtId="0" fontId="0" fillId="11" borderId="0" xfId="0" applyFill="1"/>
    <xf numFmtId="1" fontId="0" fillId="11" borderId="0" xfId="0" applyNumberFormat="1" applyFill="1"/>
    <xf numFmtId="14" fontId="6" fillId="11" borderId="0" xfId="0" applyNumberFormat="1" applyFont="1" applyFill="1" applyAlignment="1">
      <alignment vertical="center"/>
    </xf>
    <xf numFmtId="49" fontId="6" fillId="11" borderId="0" xfId="0" applyNumberFormat="1" applyFont="1" applyFill="1" applyAlignment="1">
      <alignment vertical="center"/>
    </xf>
    <xf numFmtId="0" fontId="19" fillId="11" borderId="0" xfId="0" applyFont="1" applyFill="1" applyAlignment="1">
      <alignment vertical="center" wrapText="1"/>
    </xf>
    <xf numFmtId="1" fontId="6" fillId="11" borderId="0" xfId="0" applyNumberFormat="1" applyFont="1" applyFill="1" applyAlignment="1">
      <alignment vertical="center"/>
    </xf>
    <xf numFmtId="0" fontId="6" fillId="11" borderId="0" xfId="0" applyFont="1" applyFill="1"/>
    <xf numFmtId="0" fontId="6" fillId="11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1" fontId="5" fillId="11" borderId="0" xfId="0" applyNumberFormat="1" applyFont="1" applyFill="1" applyAlignment="1">
      <alignment vertical="center"/>
    </xf>
    <xf numFmtId="0" fontId="6" fillId="11" borderId="0" xfId="0" applyFont="1" applyFill="1" applyAlignment="1">
      <alignment vertical="center" wrapText="1"/>
    </xf>
    <xf numFmtId="1" fontId="6" fillId="11" borderId="0" xfId="0" applyNumberFormat="1" applyFont="1" applyFill="1"/>
    <xf numFmtId="49" fontId="2" fillId="11" borderId="0" xfId="0" applyNumberFormat="1" applyFont="1" applyFill="1" applyAlignment="1">
      <alignment vertical="top"/>
    </xf>
    <xf numFmtId="0" fontId="2" fillId="11" borderId="0" xfId="0" applyFont="1" applyFill="1" applyAlignment="1">
      <alignment vertical="top"/>
    </xf>
    <xf numFmtId="0" fontId="2" fillId="11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6" fillId="11" borderId="0" xfId="0" applyFont="1" applyFill="1" applyAlignment="1">
      <alignment wrapText="1"/>
    </xf>
    <xf numFmtId="0" fontId="1" fillId="11" borderId="0" xfId="0" applyFont="1" applyFill="1"/>
    <xf numFmtId="1" fontId="1" fillId="11" borderId="0" xfId="0" applyNumberFormat="1" applyFont="1" applyFill="1"/>
    <xf numFmtId="0" fontId="13" fillId="11" borderId="0" xfId="0" applyFont="1" applyFill="1"/>
    <xf numFmtId="1" fontId="13" fillId="11" borderId="0" xfId="0" applyNumberFormat="1" applyFont="1" applyFill="1"/>
    <xf numFmtId="1" fontId="19" fillId="11" borderId="0" xfId="0" applyNumberFormat="1" applyFont="1" applyFill="1" applyAlignment="1">
      <alignment vertical="center" wrapText="1"/>
    </xf>
    <xf numFmtId="1" fontId="2" fillId="11" borderId="0" xfId="0" applyNumberFormat="1" applyFont="1" applyFill="1" applyAlignment="1">
      <alignment vertical="top"/>
    </xf>
    <xf numFmtId="0" fontId="6" fillId="2" borderId="60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49" fontId="6" fillId="2" borderId="1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3" borderId="68" xfId="0" applyFont="1" applyFill="1" applyBorder="1" applyAlignment="1">
      <alignment horizontal="right" vertical="center"/>
    </xf>
    <xf numFmtId="0" fontId="3" fillId="0" borderId="5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right" vertical="center"/>
    </xf>
    <xf numFmtId="0" fontId="4" fillId="0" borderId="64" xfId="0" applyFont="1" applyBorder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14" fillId="0" borderId="74" xfId="0" applyFont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/>
    </xf>
    <xf numFmtId="164" fontId="3" fillId="0" borderId="77" xfId="0" applyNumberFormat="1" applyFont="1" applyBorder="1" applyAlignment="1">
      <alignment horizontal="center" vertical="center"/>
    </xf>
    <xf numFmtId="164" fontId="3" fillId="0" borderId="78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32" fillId="11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2" fontId="5" fillId="0" borderId="27" xfId="0" applyNumberFormat="1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36" fillId="12" borderId="0" xfId="0" applyFont="1" applyFill="1" applyAlignment="1">
      <alignment horizontal="center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>
      <alignment horizontal="right" vertical="center" wrapText="1"/>
    </xf>
    <xf numFmtId="2" fontId="5" fillId="0" borderId="27" xfId="0" applyNumberFormat="1" applyFont="1" applyBorder="1" applyAlignment="1">
      <alignment horizontal="right" vertical="center" wrapText="1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14" fontId="6" fillId="0" borderId="16" xfId="0" applyNumberFormat="1" applyFont="1" applyBorder="1" applyAlignment="1" applyProtection="1">
      <alignment horizontal="left" vertical="center"/>
      <protection locked="0"/>
    </xf>
    <xf numFmtId="14" fontId="6" fillId="0" borderId="17" xfId="0" applyNumberFormat="1" applyFont="1" applyBorder="1" applyAlignment="1" applyProtection="1">
      <alignment horizontal="left" vertical="center"/>
      <protection locked="0"/>
    </xf>
    <xf numFmtId="14" fontId="6" fillId="0" borderId="19" xfId="0" applyNumberFormat="1" applyFont="1" applyBorder="1" applyAlignment="1" applyProtection="1">
      <alignment horizontal="left" vertical="center"/>
      <protection locked="0"/>
    </xf>
    <xf numFmtId="14" fontId="6" fillId="0" borderId="20" xfId="0" applyNumberFormat="1" applyFont="1" applyBorder="1" applyAlignment="1" applyProtection="1">
      <alignment horizontal="left" vertical="center"/>
      <protection locked="0"/>
    </xf>
    <xf numFmtId="14" fontId="6" fillId="0" borderId="23" xfId="0" applyNumberFormat="1" applyFont="1" applyBorder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14" fontId="6" fillId="11" borderId="0" xfId="0" applyNumberFormat="1" applyFont="1" applyFill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6" fillId="0" borderId="17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 applyProtection="1">
      <alignment horizontal="left" vertical="center"/>
      <protection locked="0"/>
    </xf>
    <xf numFmtId="49" fontId="6" fillId="0" borderId="41" xfId="0" applyNumberFormat="1" applyFont="1" applyBorder="1" applyAlignment="1" applyProtection="1">
      <alignment horizontal="left" vertical="center"/>
      <protection locked="0"/>
    </xf>
    <xf numFmtId="49" fontId="6" fillId="0" borderId="42" xfId="0" applyNumberFormat="1" applyFont="1" applyBorder="1" applyAlignment="1" applyProtection="1">
      <alignment horizontal="left" vertical="center"/>
      <protection locked="0"/>
    </xf>
    <xf numFmtId="49" fontId="6" fillId="0" borderId="43" xfId="0" applyNumberFormat="1" applyFont="1" applyBorder="1" applyAlignment="1" applyProtection="1">
      <alignment horizontal="left" vertical="center"/>
      <protection locked="0"/>
    </xf>
    <xf numFmtId="49" fontId="6" fillId="0" borderId="44" xfId="0" applyNumberFormat="1" applyFont="1" applyBorder="1" applyAlignment="1" applyProtection="1">
      <alignment horizontal="left" vertical="center"/>
      <protection locked="0"/>
    </xf>
    <xf numFmtId="49" fontId="6" fillId="0" borderId="45" xfId="0" applyNumberFormat="1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33" fillId="4" borderId="8" xfId="0" applyFont="1" applyFill="1" applyBorder="1" applyAlignment="1">
      <alignment horizontal="right" vertical="center"/>
    </xf>
    <xf numFmtId="0" fontId="33" fillId="4" borderId="4" xfId="0" applyFont="1" applyFill="1" applyBorder="1" applyAlignment="1">
      <alignment horizontal="right" vertical="center"/>
    </xf>
    <xf numFmtId="0" fontId="33" fillId="4" borderId="5" xfId="0" applyFont="1" applyFill="1" applyBorder="1" applyAlignment="1">
      <alignment horizontal="right" vertical="center"/>
    </xf>
    <xf numFmtId="0" fontId="33" fillId="4" borderId="0" xfId="0" applyFont="1" applyFill="1" applyAlignment="1">
      <alignment horizontal="right" vertical="center"/>
    </xf>
    <xf numFmtId="164" fontId="33" fillId="0" borderId="4" xfId="0" applyNumberFormat="1" applyFont="1" applyBorder="1" applyAlignment="1">
      <alignment horizontal="left" vertical="center"/>
    </xf>
    <xf numFmtId="164" fontId="33" fillId="0" borderId="2" xfId="0" applyNumberFormat="1" applyFont="1" applyBorder="1" applyAlignment="1">
      <alignment horizontal="left" vertical="center"/>
    </xf>
    <xf numFmtId="164" fontId="33" fillId="0" borderId="0" xfId="0" applyNumberFormat="1" applyFont="1" applyAlignment="1">
      <alignment horizontal="left" vertical="center"/>
    </xf>
    <xf numFmtId="164" fontId="33" fillId="0" borderId="14" xfId="0" applyNumberFormat="1" applyFont="1" applyBorder="1" applyAlignment="1">
      <alignment horizontal="left" vertical="center"/>
    </xf>
    <xf numFmtId="0" fontId="2" fillId="11" borderId="0" xfId="0" applyFont="1" applyFill="1" applyAlignment="1">
      <alignment horizontal="right" vertical="center"/>
    </xf>
    <xf numFmtId="0" fontId="2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2" fontId="5" fillId="11" borderId="0" xfId="0" applyNumberFormat="1" applyFont="1" applyFill="1" applyAlignment="1">
      <alignment horizontal="right" vertical="center" wrapText="1"/>
    </xf>
    <xf numFmtId="2" fontId="5" fillId="11" borderId="0" xfId="0" applyNumberFormat="1" applyFont="1" applyFill="1" applyAlignment="1">
      <alignment horizontal="left" vertical="center" wrapText="1"/>
    </xf>
    <xf numFmtId="0" fontId="6" fillId="11" borderId="0" xfId="0" applyFont="1" applyFill="1" applyAlignment="1">
      <alignment horizontal="center" vertical="center"/>
    </xf>
    <xf numFmtId="164" fontId="2" fillId="11" borderId="0" xfId="0" applyNumberFormat="1" applyFont="1" applyFill="1" applyAlignment="1">
      <alignment horizontal="left" vertical="center"/>
    </xf>
    <xf numFmtId="0" fontId="5" fillId="11" borderId="0" xfId="0" applyFont="1" applyFill="1" applyAlignment="1">
      <alignment horizontal="left" vertical="top"/>
    </xf>
    <xf numFmtId="0" fontId="0" fillId="11" borderId="0" xfId="0" applyFill="1"/>
    <xf numFmtId="49" fontId="6" fillId="11" borderId="0" xfId="0" applyNumberFormat="1" applyFont="1" applyFill="1" applyAlignment="1">
      <alignment horizontal="center" vertical="center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right" vertical="center" wrapText="1"/>
    </xf>
    <xf numFmtId="1" fontId="6" fillId="4" borderId="16" xfId="0" applyNumberFormat="1" applyFont="1" applyFill="1" applyBorder="1" applyAlignment="1" applyProtection="1">
      <alignment horizontal="center" vertical="center"/>
      <protection locked="0"/>
    </xf>
    <xf numFmtId="1" fontId="6" fillId="4" borderId="17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1" fontId="6" fillId="4" borderId="19" xfId="0" applyNumberFormat="1" applyFont="1" applyFill="1" applyBorder="1" applyAlignment="1" applyProtection="1">
      <alignment horizontal="center" vertical="center"/>
      <protection locked="0"/>
    </xf>
    <xf numFmtId="1" fontId="6" fillId="4" borderId="20" xfId="0" applyNumberFormat="1" applyFont="1" applyFill="1" applyBorder="1" applyAlignment="1" applyProtection="1">
      <alignment horizontal="center" vertical="center"/>
      <protection locked="0"/>
    </xf>
    <xf numFmtId="1" fontId="6" fillId="4" borderId="21" xfId="0" applyNumberFormat="1" applyFont="1" applyFill="1" applyBorder="1" applyAlignment="1" applyProtection="1">
      <alignment horizontal="center" vertical="center"/>
      <protection locked="0"/>
    </xf>
    <xf numFmtId="0" fontId="33" fillId="4" borderId="9" xfId="0" applyFont="1" applyFill="1" applyBorder="1" applyAlignment="1">
      <alignment horizontal="right" vertical="center"/>
    </xf>
    <xf numFmtId="0" fontId="33" fillId="4" borderId="27" xfId="0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11" borderId="0" xfId="0" applyFont="1" applyFill="1" applyAlignment="1">
      <alignment horizont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18" fillId="1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6" fillId="0" borderId="19" xfId="0" applyNumberFormat="1" applyFont="1" applyBorder="1" applyAlignment="1">
      <alignment horizontal="left" vertical="center"/>
    </xf>
    <xf numFmtId="14" fontId="6" fillId="0" borderId="20" xfId="0" applyNumberFormat="1" applyFont="1" applyBorder="1" applyAlignment="1">
      <alignment horizontal="left" vertical="center"/>
    </xf>
    <xf numFmtId="49" fontId="6" fillId="4" borderId="23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6" xfId="0" applyFont="1" applyFill="1" applyBorder="1" applyAlignment="1">
      <alignment horizontal="right" vertical="center"/>
    </xf>
    <xf numFmtId="0" fontId="4" fillId="3" borderId="57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5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4" fontId="12" fillId="0" borderId="13" xfId="0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center" wrapText="1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9" fillId="0" borderId="69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3" fillId="3" borderId="5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6" fillId="0" borderId="75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right" vertical="center"/>
    </xf>
    <xf numFmtId="0" fontId="3" fillId="3" borderId="48" xfId="0" applyFont="1" applyFill="1" applyBorder="1" applyAlignment="1">
      <alignment horizontal="right" vertical="center"/>
    </xf>
    <xf numFmtId="0" fontId="8" fillId="3" borderId="63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</cellXfs>
  <cellStyles count="2">
    <cellStyle name="Euro" xfId="1" xr:uid="{D490782D-5AEB-40BD-AD4D-6B33D6FEFC1B}"/>
    <cellStyle name="Normale" xfId="0" builtinId="0"/>
  </cellStyles>
  <dxfs count="25">
    <dxf>
      <font>
        <strike val="0"/>
      </font>
      <fill>
        <gradientFill degree="45">
          <stop position="0">
            <color theme="0"/>
          </stop>
          <stop position="1">
            <color rgb="FFFFFF00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</dxfs>
  <tableStyles count="0" defaultTableStyle="TableStyleMedium2" defaultPivotStyle="PivotStyleLight16"/>
  <colors>
    <mruColors>
      <color rgb="FFFF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jpeg"/><Relationship Id="rId2" Type="http://schemas.openxmlformats.org/officeDocument/2006/relationships/image" Target="../media/image8.png"/><Relationship Id="rId16" Type="http://schemas.openxmlformats.org/officeDocument/2006/relationships/image" Target="../media/image22.jpe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5" Type="http://schemas.openxmlformats.org/officeDocument/2006/relationships/image" Target="../media/image21.jpe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image" Target="../media/image26.png"/><Relationship Id="rId7" Type="http://schemas.openxmlformats.org/officeDocument/2006/relationships/image" Target="../media/image2.emf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31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29478</xdr:colOff>
      <xdr:row>0</xdr:row>
      <xdr:rowOff>0</xdr:rowOff>
    </xdr:from>
    <xdr:to>
      <xdr:col>8</xdr:col>
      <xdr:colOff>175528</xdr:colOff>
      <xdr:row>2</xdr:row>
      <xdr:rowOff>231198</xdr:rowOff>
    </xdr:to>
    <xdr:pic>
      <xdr:nvPicPr>
        <xdr:cNvPr id="3376" name="Immagine 2">
          <a:extLst>
            <a:ext uri="{FF2B5EF4-FFF2-40B4-BE49-F238E27FC236}">
              <a16:creationId xmlns:a16="http://schemas.microsoft.com/office/drawing/2014/main" id="{93A37ED5-A02F-4A45-8915-D738451E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18182" b="20454"/>
        <a:stretch>
          <a:fillRect/>
        </a:stretch>
      </xdr:blipFill>
      <xdr:spPr bwMode="auto">
        <a:xfrm>
          <a:off x="2995835" y="47625"/>
          <a:ext cx="1053193" cy="47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113850</xdr:colOff>
          <xdr:row>36</xdr:row>
          <xdr:rowOff>19958</xdr:rowOff>
        </xdr:from>
        <xdr:ext cx="5915025" cy="1576613"/>
        <xdr:pic>
          <xdr:nvPicPr>
            <xdr:cNvPr id="15" name="Immagine 10">
              <a:extLst>
                <a:ext uri="{FF2B5EF4-FFF2-40B4-BE49-F238E27FC236}">
                  <a16:creationId xmlns:a16="http://schemas.microsoft.com/office/drawing/2014/main" id="{2A87C1CE-F995-4557-BB6F-DA30081B125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COMPOSIZIONE" spid="_x0000_s81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928636" y="4991101"/>
              <a:ext cx="5915025" cy="15766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30</xdr:col>
          <xdr:colOff>31756</xdr:colOff>
          <xdr:row>22</xdr:row>
          <xdr:rowOff>30961</xdr:rowOff>
        </xdr:from>
        <xdr:ext cx="847725" cy="1714500"/>
        <xdr:pic>
          <xdr:nvPicPr>
            <xdr:cNvPr id="16" name="Immagine 15">
              <a:extLst>
                <a:ext uri="{FF2B5EF4-FFF2-40B4-BE49-F238E27FC236}">
                  <a16:creationId xmlns:a16="http://schemas.microsoft.com/office/drawing/2014/main" id="{F67CE068-B89A-4519-90E3-9A6F10FF20F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c" spid="_x0000_s810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697113" y="3097104"/>
              <a:ext cx="847725" cy="1714500"/>
            </a:xfrm>
            <a:prstGeom prst="rect">
              <a:avLst/>
            </a:prstGeom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24</xdr:col>
          <xdr:colOff>98883</xdr:colOff>
          <xdr:row>22</xdr:row>
          <xdr:rowOff>30961</xdr:rowOff>
        </xdr:from>
        <xdr:ext cx="847725" cy="1714500"/>
        <xdr:pic>
          <xdr:nvPicPr>
            <xdr:cNvPr id="17" name="Immagine 16">
              <a:extLst>
                <a:ext uri="{FF2B5EF4-FFF2-40B4-BE49-F238E27FC236}">
                  <a16:creationId xmlns:a16="http://schemas.microsoft.com/office/drawing/2014/main" id="{ED68E8AE-4294-412F-946F-9D0D4D1EE2DF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b" spid="_x0000_s810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730097" y="3097104"/>
              <a:ext cx="847725" cy="1714500"/>
            </a:xfrm>
            <a:prstGeom prst="rect">
              <a:avLst/>
            </a:prstGeom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119513</xdr:colOff>
          <xdr:row>22</xdr:row>
          <xdr:rowOff>31419</xdr:rowOff>
        </xdr:from>
        <xdr:ext cx="847725" cy="1714500"/>
        <xdr:pic>
          <xdr:nvPicPr>
            <xdr:cNvPr id="18" name="Immagine 17">
              <a:extLst>
                <a:ext uri="{FF2B5EF4-FFF2-40B4-BE49-F238E27FC236}">
                  <a16:creationId xmlns:a16="http://schemas.microsoft.com/office/drawing/2014/main" id="{BE8938D4-7BE0-4E8C-8D61-2AB1E856E93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a" spid="_x0000_s810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771013" y="3097562"/>
              <a:ext cx="847725" cy="1714500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 editAs="oneCell">
    <xdr:from>
      <xdr:col>36</xdr:col>
      <xdr:colOff>62345</xdr:colOff>
      <xdr:row>3</xdr:row>
      <xdr:rowOff>111602</xdr:rowOff>
    </xdr:from>
    <xdr:to>
      <xdr:col>55</xdr:col>
      <xdr:colOff>90055</xdr:colOff>
      <xdr:row>35</xdr:row>
      <xdr:rowOff>103910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7083E32-166C-4DCC-7271-D2654502E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4"/>
        <a:stretch>
          <a:fillRect/>
        </a:stretch>
      </xdr:blipFill>
      <xdr:spPr>
        <a:xfrm>
          <a:off x="8839200" y="617293"/>
          <a:ext cx="2791691" cy="4314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4010025</xdr:colOff>
      <xdr:row>1</xdr:row>
      <xdr:rowOff>1666875</xdr:rowOff>
    </xdr:to>
    <xdr:pic>
      <xdr:nvPicPr>
        <xdr:cNvPr id="4999" name="Immagine 7">
          <a:extLst>
            <a:ext uri="{FF2B5EF4-FFF2-40B4-BE49-F238E27FC236}">
              <a16:creationId xmlns:a16="http://schemas.microsoft.com/office/drawing/2014/main" id="{B9075D92-B738-48CA-B7E9-3207373C20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190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</xdr:row>
      <xdr:rowOff>47625</xdr:rowOff>
    </xdr:from>
    <xdr:to>
      <xdr:col>1</xdr:col>
      <xdr:colOff>4010025</xdr:colOff>
      <xdr:row>2</xdr:row>
      <xdr:rowOff>1666875</xdr:rowOff>
    </xdr:to>
    <xdr:pic>
      <xdr:nvPicPr>
        <xdr:cNvPr id="5000" name="Immagine 9">
          <a:extLst>
            <a:ext uri="{FF2B5EF4-FFF2-40B4-BE49-F238E27FC236}">
              <a16:creationId xmlns:a16="http://schemas.microsoft.com/office/drawing/2014/main" id="{1B9119F6-36B5-4F63-8ACF-711727B937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9335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47625</xdr:rowOff>
    </xdr:from>
    <xdr:to>
      <xdr:col>1</xdr:col>
      <xdr:colOff>4010025</xdr:colOff>
      <xdr:row>3</xdr:row>
      <xdr:rowOff>1666875</xdr:rowOff>
    </xdr:to>
    <xdr:pic>
      <xdr:nvPicPr>
        <xdr:cNvPr id="5001" name="Immagine 11">
          <a:extLst>
            <a:ext uri="{FF2B5EF4-FFF2-40B4-BE49-F238E27FC236}">
              <a16:creationId xmlns:a16="http://schemas.microsoft.com/office/drawing/2014/main" id="{1B4E54F8-55DC-4B6D-9154-D1CC7FB69B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6480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</xdr:row>
      <xdr:rowOff>47625</xdr:rowOff>
    </xdr:from>
    <xdr:to>
      <xdr:col>1</xdr:col>
      <xdr:colOff>4010025</xdr:colOff>
      <xdr:row>4</xdr:row>
      <xdr:rowOff>1666875</xdr:rowOff>
    </xdr:to>
    <xdr:pic>
      <xdr:nvPicPr>
        <xdr:cNvPr id="5002" name="Immagine 13">
          <a:extLst>
            <a:ext uri="{FF2B5EF4-FFF2-40B4-BE49-F238E27FC236}">
              <a16:creationId xmlns:a16="http://schemas.microsoft.com/office/drawing/2014/main" id="{372B881B-E783-4933-9B37-FA16000394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53625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47625</xdr:rowOff>
    </xdr:from>
    <xdr:to>
      <xdr:col>1</xdr:col>
      <xdr:colOff>4010025</xdr:colOff>
      <xdr:row>5</xdr:row>
      <xdr:rowOff>1666875</xdr:rowOff>
    </xdr:to>
    <xdr:pic>
      <xdr:nvPicPr>
        <xdr:cNvPr id="5003" name="Immagine 15">
          <a:extLst>
            <a:ext uri="{FF2B5EF4-FFF2-40B4-BE49-F238E27FC236}">
              <a16:creationId xmlns:a16="http://schemas.microsoft.com/office/drawing/2014/main" id="{CDC15DB7-0C4A-41F5-AA17-8ED8EA8F44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0770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6</xdr:row>
      <xdr:rowOff>47625</xdr:rowOff>
    </xdr:from>
    <xdr:to>
      <xdr:col>1</xdr:col>
      <xdr:colOff>4010025</xdr:colOff>
      <xdr:row>6</xdr:row>
      <xdr:rowOff>1666875</xdr:rowOff>
    </xdr:to>
    <xdr:pic>
      <xdr:nvPicPr>
        <xdr:cNvPr id="5004" name="Immagine 17">
          <a:extLst>
            <a:ext uri="{FF2B5EF4-FFF2-40B4-BE49-F238E27FC236}">
              <a16:creationId xmlns:a16="http://schemas.microsoft.com/office/drawing/2014/main" id="{29BEFD04-49A4-44D6-9AB9-4B2EF1E257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87915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7</xdr:row>
      <xdr:rowOff>47625</xdr:rowOff>
    </xdr:from>
    <xdr:to>
      <xdr:col>1</xdr:col>
      <xdr:colOff>4010025</xdr:colOff>
      <xdr:row>7</xdr:row>
      <xdr:rowOff>1666875</xdr:rowOff>
    </xdr:to>
    <xdr:pic>
      <xdr:nvPicPr>
        <xdr:cNvPr id="5005" name="Immagine 19">
          <a:extLst>
            <a:ext uri="{FF2B5EF4-FFF2-40B4-BE49-F238E27FC236}">
              <a16:creationId xmlns:a16="http://schemas.microsoft.com/office/drawing/2014/main" id="{5E2CEE76-795E-4826-B6B6-BBB8263D9A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05060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8</xdr:row>
      <xdr:rowOff>47625</xdr:rowOff>
    </xdr:from>
    <xdr:to>
      <xdr:col>1</xdr:col>
      <xdr:colOff>4010025</xdr:colOff>
      <xdr:row>8</xdr:row>
      <xdr:rowOff>1666875</xdr:rowOff>
    </xdr:to>
    <xdr:pic>
      <xdr:nvPicPr>
        <xdr:cNvPr id="5006" name="Immagine 21">
          <a:extLst>
            <a:ext uri="{FF2B5EF4-FFF2-40B4-BE49-F238E27FC236}">
              <a16:creationId xmlns:a16="http://schemas.microsoft.com/office/drawing/2014/main" id="{28161E1D-4ADF-4665-8A16-CB8D517B1B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2220575"/>
          <a:ext cx="39624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9</xdr:row>
      <xdr:rowOff>47625</xdr:rowOff>
    </xdr:from>
    <xdr:to>
      <xdr:col>1</xdr:col>
      <xdr:colOff>5810250</xdr:colOff>
      <xdr:row>9</xdr:row>
      <xdr:rowOff>1666875</xdr:rowOff>
    </xdr:to>
    <xdr:pic>
      <xdr:nvPicPr>
        <xdr:cNvPr id="5007" name="Immagine 23">
          <a:extLst>
            <a:ext uri="{FF2B5EF4-FFF2-40B4-BE49-F238E27FC236}">
              <a16:creationId xmlns:a16="http://schemas.microsoft.com/office/drawing/2014/main" id="{4B6A6B1F-E12C-4FC8-B6D4-8D36582DE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9350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</xdr:row>
      <xdr:rowOff>47625</xdr:rowOff>
    </xdr:from>
    <xdr:to>
      <xdr:col>1</xdr:col>
      <xdr:colOff>5819775</xdr:colOff>
      <xdr:row>10</xdr:row>
      <xdr:rowOff>1666875</xdr:rowOff>
    </xdr:to>
    <xdr:pic>
      <xdr:nvPicPr>
        <xdr:cNvPr id="5008" name="Immagine 25">
          <a:extLst>
            <a:ext uri="{FF2B5EF4-FFF2-40B4-BE49-F238E27FC236}">
              <a16:creationId xmlns:a16="http://schemas.microsoft.com/office/drawing/2014/main" id="{E8DCCADF-370C-4F83-98FF-74AE9B4AEC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56495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11</xdr:row>
      <xdr:rowOff>47625</xdr:rowOff>
    </xdr:from>
    <xdr:to>
      <xdr:col>1</xdr:col>
      <xdr:colOff>5810250</xdr:colOff>
      <xdr:row>11</xdr:row>
      <xdr:rowOff>1666875</xdr:rowOff>
    </xdr:to>
    <xdr:pic>
      <xdr:nvPicPr>
        <xdr:cNvPr id="5009" name="Immagine 27">
          <a:extLst>
            <a:ext uri="{FF2B5EF4-FFF2-40B4-BE49-F238E27FC236}">
              <a16:creationId xmlns:a16="http://schemas.microsoft.com/office/drawing/2014/main" id="{F8D4ACD4-2588-4B59-A706-B05474D9608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73640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12</xdr:row>
      <xdr:rowOff>47625</xdr:rowOff>
    </xdr:from>
    <xdr:to>
      <xdr:col>1</xdr:col>
      <xdr:colOff>5810250</xdr:colOff>
      <xdr:row>12</xdr:row>
      <xdr:rowOff>1666875</xdr:rowOff>
    </xdr:to>
    <xdr:pic>
      <xdr:nvPicPr>
        <xdr:cNvPr id="5010" name="Immagine 29">
          <a:extLst>
            <a:ext uri="{FF2B5EF4-FFF2-40B4-BE49-F238E27FC236}">
              <a16:creationId xmlns:a16="http://schemas.microsoft.com/office/drawing/2014/main" id="{7A32CAD1-81EC-4B52-9415-5540B39F72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90785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13</xdr:row>
      <xdr:rowOff>47625</xdr:rowOff>
    </xdr:from>
    <xdr:to>
      <xdr:col>1</xdr:col>
      <xdr:colOff>5819775</xdr:colOff>
      <xdr:row>13</xdr:row>
      <xdr:rowOff>1666875</xdr:rowOff>
    </xdr:to>
    <xdr:pic>
      <xdr:nvPicPr>
        <xdr:cNvPr id="5011" name="Immagine 31">
          <a:extLst>
            <a:ext uri="{FF2B5EF4-FFF2-40B4-BE49-F238E27FC236}">
              <a16:creationId xmlns:a16="http://schemas.microsoft.com/office/drawing/2014/main" id="{70772AD1-982D-4746-88FC-E1FDD235FE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07930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</xdr:row>
      <xdr:rowOff>47625</xdr:rowOff>
    </xdr:from>
    <xdr:to>
      <xdr:col>1</xdr:col>
      <xdr:colOff>5810250</xdr:colOff>
      <xdr:row>14</xdr:row>
      <xdr:rowOff>1666875</xdr:rowOff>
    </xdr:to>
    <xdr:pic>
      <xdr:nvPicPr>
        <xdr:cNvPr id="5012" name="Immagine 33">
          <a:extLst>
            <a:ext uri="{FF2B5EF4-FFF2-40B4-BE49-F238E27FC236}">
              <a16:creationId xmlns:a16="http://schemas.microsoft.com/office/drawing/2014/main" id="{DE8BEC77-CE50-48E2-AF84-2A92403CA3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2507575"/>
          <a:ext cx="5762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</xdr:row>
      <xdr:rowOff>9525</xdr:rowOff>
    </xdr:from>
    <xdr:to>
      <xdr:col>13</xdr:col>
      <xdr:colOff>822267</xdr:colOff>
      <xdr:row>1</xdr:row>
      <xdr:rowOff>1701525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366E4F7-C9BB-4C0B-8531-E9B7C555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525" y="180975"/>
          <a:ext cx="793692" cy="169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2</xdr:row>
      <xdr:rowOff>9525</xdr:rowOff>
    </xdr:from>
    <xdr:to>
      <xdr:col>13</xdr:col>
      <xdr:colOff>828319</xdr:colOff>
      <xdr:row>2</xdr:row>
      <xdr:rowOff>1701525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4E94285-6934-4F44-BD40-1E77B996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525" y="1895475"/>
          <a:ext cx="799744" cy="169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3</xdr:row>
      <xdr:rowOff>9525</xdr:rowOff>
    </xdr:from>
    <xdr:to>
      <xdr:col>13</xdr:col>
      <xdr:colOff>788548</xdr:colOff>
      <xdr:row>3</xdr:row>
      <xdr:rowOff>1701525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F59AC35-0D10-47A9-A153-A876166A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525" y="3609975"/>
          <a:ext cx="759973" cy="169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83</xdr:row>
      <xdr:rowOff>19050</xdr:rowOff>
    </xdr:from>
    <xdr:to>
      <xdr:col>6</xdr:col>
      <xdr:colOff>306705</xdr:colOff>
      <xdr:row>85</xdr:row>
      <xdr:rowOff>161925</xdr:rowOff>
    </xdr:to>
    <xdr:pic>
      <xdr:nvPicPr>
        <xdr:cNvPr id="5417" name="Immagine 9" descr="PS19 - MONTANTE NUOVO.png">
          <a:extLst>
            <a:ext uri="{FF2B5EF4-FFF2-40B4-BE49-F238E27FC236}">
              <a16:creationId xmlns:a16="http://schemas.microsoft.com/office/drawing/2014/main" id="{C3E7034E-0B88-4FA4-8AD8-044CF103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6116300"/>
          <a:ext cx="1133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45</xdr:row>
      <xdr:rowOff>66675</xdr:rowOff>
    </xdr:from>
    <xdr:to>
      <xdr:col>7</xdr:col>
      <xdr:colOff>232410</xdr:colOff>
      <xdr:row>48</xdr:row>
      <xdr:rowOff>114300</xdr:rowOff>
    </xdr:to>
    <xdr:pic>
      <xdr:nvPicPr>
        <xdr:cNvPr id="5418" name="Immagine 10" descr="PS19 - TRAVERSINO SUPERIORE E INFERIORE.png">
          <a:extLst>
            <a:ext uri="{FF2B5EF4-FFF2-40B4-BE49-F238E27FC236}">
              <a16:creationId xmlns:a16="http://schemas.microsoft.com/office/drawing/2014/main" id="{452EB492-A727-403E-9888-1CA5584E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8562975"/>
          <a:ext cx="1552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52</xdr:row>
      <xdr:rowOff>152400</xdr:rowOff>
    </xdr:from>
    <xdr:to>
      <xdr:col>6</xdr:col>
      <xdr:colOff>68580</xdr:colOff>
      <xdr:row>55</xdr:row>
      <xdr:rowOff>47625</xdr:rowOff>
    </xdr:to>
    <xdr:pic>
      <xdr:nvPicPr>
        <xdr:cNvPr id="5419" name="Immagine 11" descr="PS19 - TRAVERSINO A VISTA.png">
          <a:extLst>
            <a:ext uri="{FF2B5EF4-FFF2-40B4-BE49-F238E27FC236}">
              <a16:creationId xmlns:a16="http://schemas.microsoft.com/office/drawing/2014/main" id="{9ADA00F2-B08D-4CD5-829C-4A099E28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0048875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809625</xdr:colOff>
      <xdr:row>61</xdr:row>
      <xdr:rowOff>142875</xdr:rowOff>
    </xdr:from>
    <xdr:to>
      <xdr:col>6</xdr:col>
      <xdr:colOff>59055</xdr:colOff>
      <xdr:row>64</xdr:row>
      <xdr:rowOff>57150</xdr:rowOff>
    </xdr:to>
    <xdr:pic>
      <xdr:nvPicPr>
        <xdr:cNvPr id="5420" name="Immagine 12" descr="PS19 - TRAVERSINO NASCOSTO.png">
          <a:extLst>
            <a:ext uri="{FF2B5EF4-FFF2-40B4-BE49-F238E27FC236}">
              <a16:creationId xmlns:a16="http://schemas.microsoft.com/office/drawing/2014/main" id="{8DA344FA-D86F-4995-8692-CA7A4F1E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839575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68</xdr:row>
      <xdr:rowOff>152400</xdr:rowOff>
    </xdr:from>
    <xdr:to>
      <xdr:col>6</xdr:col>
      <xdr:colOff>68580</xdr:colOff>
      <xdr:row>71</xdr:row>
      <xdr:rowOff>47625</xdr:rowOff>
    </xdr:to>
    <xdr:pic>
      <xdr:nvPicPr>
        <xdr:cNvPr id="5421" name="Immagine 13" descr="PS19 - TRAVERSINO A VISTA.png">
          <a:extLst>
            <a:ext uri="{FF2B5EF4-FFF2-40B4-BE49-F238E27FC236}">
              <a16:creationId xmlns:a16="http://schemas.microsoft.com/office/drawing/2014/main" id="{D78F33C6-AE72-40C4-ACDB-907604EB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249275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75</xdr:row>
      <xdr:rowOff>114300</xdr:rowOff>
    </xdr:from>
    <xdr:to>
      <xdr:col>6</xdr:col>
      <xdr:colOff>230505</xdr:colOff>
      <xdr:row>78</xdr:row>
      <xdr:rowOff>47625</xdr:rowOff>
    </xdr:to>
    <xdr:pic>
      <xdr:nvPicPr>
        <xdr:cNvPr id="5422" name="Immagine 14" descr="PS19 - MONTANTE NUOVO SENZA MANIGLIA.png">
          <a:extLst>
            <a:ext uri="{FF2B5EF4-FFF2-40B4-BE49-F238E27FC236}">
              <a16:creationId xmlns:a16="http://schemas.microsoft.com/office/drawing/2014/main" id="{4787897B-1362-4A71-AF7A-A656F1E3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1461135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542925</xdr:colOff>
      <xdr:row>90</xdr:row>
      <xdr:rowOff>85725</xdr:rowOff>
    </xdr:from>
    <xdr:to>
      <xdr:col>8</xdr:col>
      <xdr:colOff>80010</xdr:colOff>
      <xdr:row>93</xdr:row>
      <xdr:rowOff>85725</xdr:rowOff>
    </xdr:to>
    <xdr:pic>
      <xdr:nvPicPr>
        <xdr:cNvPr id="5423" name="Immagine 16" descr="PS19 - MONTANTE NUOVO MANIGLIA ALTA.png">
          <a:extLst>
            <a:ext uri="{FF2B5EF4-FFF2-40B4-BE49-F238E27FC236}">
              <a16:creationId xmlns:a16="http://schemas.microsoft.com/office/drawing/2014/main" id="{3022D936-22CA-4DCE-89A6-3E1D931A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83150"/>
          <a:ext cx="2162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28575</xdr:rowOff>
        </xdr:from>
        <xdr:to>
          <xdr:col>10</xdr:col>
          <xdr:colOff>104775</xdr:colOff>
          <xdr:row>18</xdr:row>
          <xdr:rowOff>190800</xdr:rowOff>
        </xdr:to>
        <xdr:pic>
          <xdr:nvPicPr>
            <xdr:cNvPr id="5424" name="Immagine 8">
              <a:extLst>
                <a:ext uri="{FF2B5EF4-FFF2-40B4-BE49-F238E27FC236}">
                  <a16:creationId xmlns:a16="http://schemas.microsoft.com/office/drawing/2014/main" id="{B1FB3172-D88B-48D6-8800-C62DC068DCE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COMPOSIZIONE" spid="_x0000_s115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0675" y="2257425"/>
              <a:ext cx="5915025" cy="15624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20</xdr:row>
          <xdr:rowOff>28575</xdr:rowOff>
        </xdr:from>
        <xdr:to>
          <xdr:col>2</xdr:col>
          <xdr:colOff>24312</xdr:colOff>
          <xdr:row>27</xdr:row>
          <xdr:rowOff>216353</xdr:rowOff>
        </xdr:to>
        <xdr:pic>
          <xdr:nvPicPr>
            <xdr:cNvPr id="10" name="Immagine 9">
              <a:extLst>
                <a:ext uri="{FF2B5EF4-FFF2-40B4-BE49-F238E27FC236}">
                  <a16:creationId xmlns:a16="http://schemas.microsoft.com/office/drawing/2014/main" id="{E63766FC-FC55-4008-AFC6-EF9925C5A4C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a" spid="_x0000_s11511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372100" y="3924300"/>
              <a:ext cx="847272" cy="174987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20</xdr:row>
          <xdr:rowOff>19050</xdr:rowOff>
        </xdr:from>
        <xdr:to>
          <xdr:col>3</xdr:col>
          <xdr:colOff>588736</xdr:colOff>
          <xdr:row>27</xdr:row>
          <xdr:rowOff>206828</xdr:rowOff>
        </xdr:to>
        <xdr:pic>
          <xdr:nvPicPr>
            <xdr:cNvPr id="11" name="Immagine 10">
              <a:extLst>
                <a:ext uri="{FF2B5EF4-FFF2-40B4-BE49-F238E27FC236}">
                  <a16:creationId xmlns:a16="http://schemas.microsoft.com/office/drawing/2014/main" id="{C0050C69-430D-4291-99BE-7B48767EC67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b" spid="_x0000_s11512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543675" y="4048125"/>
              <a:ext cx="855436" cy="174987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19050</xdr:rowOff>
        </xdr:from>
        <xdr:to>
          <xdr:col>5</xdr:col>
          <xdr:colOff>242479</xdr:colOff>
          <xdr:row>27</xdr:row>
          <xdr:rowOff>206828</xdr:rowOff>
        </xdr:to>
        <xdr:pic>
          <xdr:nvPicPr>
            <xdr:cNvPr id="12" name="Immagine 11">
              <a:extLst>
                <a:ext uri="{FF2B5EF4-FFF2-40B4-BE49-F238E27FC236}">
                  <a16:creationId xmlns:a16="http://schemas.microsoft.com/office/drawing/2014/main" id="{49A19078-BDEA-4229-B5D3-29AAFCC57A66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MANIGLIAc" spid="_x0000_s11513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724775" y="4048125"/>
              <a:ext cx="855889" cy="1749878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B1:DU49"/>
  <sheetViews>
    <sheetView showGridLines="0" showRowColHeaders="0" tabSelected="1" zoomScale="110" zoomScaleNormal="110" zoomScaleSheetLayoutView="105" workbookViewId="0">
      <selection activeCell="O5" sqref="O5:AJ6"/>
    </sheetView>
  </sheetViews>
  <sheetFormatPr defaultColWidth="9.109375" defaultRowHeight="13.2" x14ac:dyDescent="0.25"/>
  <cols>
    <col min="1" max="1" width="39" style="204" customWidth="1"/>
    <col min="2" max="13" width="2.6640625" style="204" customWidth="1"/>
    <col min="14" max="14" width="2.88671875" style="204" customWidth="1"/>
    <col min="15" max="18" width="2.5546875" style="204" customWidth="1"/>
    <col min="19" max="24" width="2.44140625" style="204" customWidth="1"/>
    <col min="25" max="26" width="2.33203125" style="204" customWidth="1"/>
    <col min="27" max="36" width="2.5546875" style="204" customWidth="1"/>
    <col min="37" max="56" width="2.109375" style="204" customWidth="1"/>
    <col min="57" max="59" width="2.6640625" style="204" customWidth="1"/>
    <col min="60" max="69" width="2.33203125" style="204" customWidth="1"/>
    <col min="70" max="70" width="2.33203125" style="205" customWidth="1"/>
    <col min="71" max="71" width="2.33203125" style="204" customWidth="1"/>
    <col min="72" max="72" width="115.88671875" style="204" customWidth="1"/>
    <col min="73" max="78" width="2.44140625" style="204" customWidth="1"/>
    <col min="79" max="80" width="2.33203125" style="204" customWidth="1"/>
    <col min="81" max="86" width="2.6640625" style="204" customWidth="1"/>
    <col min="87" max="90" width="2.33203125" style="204" customWidth="1"/>
    <col min="91" max="110" width="2.109375" style="204" customWidth="1"/>
    <col min="111" max="113" width="2.6640625" style="204" customWidth="1"/>
    <col min="114" max="123" width="2.33203125" style="204" customWidth="1"/>
    <col min="124" max="124" width="2.33203125" style="205" customWidth="1"/>
    <col min="125" max="125" width="2.33203125" style="204" customWidth="1"/>
    <col min="126" max="16384" width="9.109375" style="204"/>
  </cols>
  <sheetData>
    <row r="1" spans="2:125" ht="9" customHeight="1" x14ac:dyDescent="0.4"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267" t="s">
        <v>200</v>
      </c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8" t="s">
        <v>241</v>
      </c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50"/>
      <c r="BF1" s="250"/>
      <c r="BG1" s="250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51"/>
      <c r="CU1" s="251"/>
      <c r="CV1" s="251"/>
      <c r="CW1" s="251"/>
      <c r="CX1" s="251"/>
      <c r="CY1" s="251"/>
      <c r="CZ1" s="251"/>
      <c r="DA1" s="251"/>
      <c r="DB1" s="251"/>
      <c r="DC1" s="251"/>
      <c r="DD1" s="251"/>
      <c r="DE1" s="251"/>
      <c r="DF1" s="251"/>
      <c r="DG1" s="252"/>
      <c r="DH1" s="252"/>
      <c r="DI1" s="252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4"/>
      <c r="DU1" s="223"/>
    </row>
    <row r="2" spans="2:125" ht="9" customHeight="1" x14ac:dyDescent="0.4"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50"/>
      <c r="BF2" s="250"/>
      <c r="BG2" s="250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2"/>
      <c r="DH2" s="252"/>
      <c r="DI2" s="252"/>
      <c r="DJ2" s="223"/>
      <c r="DK2" s="223"/>
      <c r="DL2" s="223"/>
      <c r="DM2" s="223"/>
      <c r="DN2" s="223"/>
      <c r="DO2" s="223"/>
      <c r="DP2" s="223"/>
      <c r="DQ2" s="223"/>
      <c r="DR2" s="208"/>
      <c r="DS2" s="208"/>
      <c r="DT2" s="225"/>
      <c r="DU2" s="208"/>
    </row>
    <row r="3" spans="2:125" ht="21" customHeight="1" x14ac:dyDescent="0.25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70" t="str">
        <f>IF(O5="","CLICCA E SELEZIONA SE RITIRARE MERCE IN VPA O SE VOLETE LA CONSEGNA",IF($O$7="","SCRIVERE LA RAGIONE SOCIALE",IF($O$9="","SCRIVERE LA CITTA'",IF($O$13="","CLICCA E SCEGLI IL TIPO DI VETRO OPPURE NO VETRO",IF(O15="","CLICCA E SCEGLI LA FINITURA",IF($O$17="","SCRIVI LA MISURA DEL BINARIO",IF($W$17="","SCRIVI QUANTI BINARI DI QUELLA MISURA SERVONO",IF($O$19="","SCRIVI IL N° DI COMPOSIZIONI UGUALI DA PRODURRE",IF(AND($O$19&gt;1,$Y$19=""),"CLICCA E SCEGLI SE LE COMPOSIZIONI SONO SPECULARI",IF($O$21="","SCRIVI L'ALTEZZA DA SOPRA CAPPELLO A SOTTO IL BASAMENTO (vedi disegno)",IF($O$23="","SCRIVI LA LARGHEZZA ESTERNA DEL MOBILE (spalle comprese)",IF(O25="","CLICCA E SCEGLI QUANTE ANTE SERVONO PER OGNI COMPOSIZIONE",IF($O$27="","CLICCA E SCEGLI DA CHE PARTE DEVE APRIRSI L'ANTA ESTERNA",IF($O$29="","CLICCA E SCEGLI IL N° DI MANIGLIE PER COMPOSIZIONE",IF($O$31="","CLICCA E SCEGLI IL N° DI CONTROMANIGLIE PER COMPOSIZIONE",IF(AND($O$33="",$O$25*2&gt;$O$29+$O$31),"CLICCA E SCEGLI IL N° DI MANIGLIE CON CHIUSURA PER COMPOSIZIONE",IF($O$35="","CLICCA E SCEGLI SE IL TRAVERSINO E' A VISTA O NASCOSTO",IF($O$37="","SCRIVI IL N° DI TRAVERSINI DESIDERATI PER CIASCUNA ANTA",IF($O$39="","CLICCA E SCEGLI SE SONO AMMORTIZZATE OPPURE NO",IF(O41="","CLICCA E SCEGLI SE SERVE IL CARTER DI COPERTURA OPPURE NO",IF($O$43="","CLICCA E SCEGLI SE SONO MONTATE O SMONTATE",IF(AND($B$45&lt;&gt;"",$O$45=""),"CLICCA E SCEGLI SE DOBBIAMO ANTICIPARE I PROFILI OPPURE NO","OK"))))))))))))))))))))))</f>
        <v>CLICCA E SELEZIONA SE RITIRARE MERCE IN VPA O SE VOLETE LA CONSEGNA</v>
      </c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25"/>
      <c r="DU3" s="208"/>
    </row>
    <row r="4" spans="2:125" ht="18" customHeight="1" x14ac:dyDescent="0.25"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7"/>
      <c r="O4" s="372" t="str">
        <f>IF(CARTELLINO!J7&lt;&gt;"",CARTELLINO!J7,"")</f>
        <v/>
      </c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235"/>
      <c r="BF4" s="235"/>
      <c r="BG4" s="235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17"/>
      <c r="DM4" s="217"/>
      <c r="DN4" s="217"/>
      <c r="DO4" s="217"/>
      <c r="DP4" s="217"/>
      <c r="DQ4" s="217"/>
      <c r="DR4" s="217"/>
      <c r="DS4" s="217"/>
      <c r="DT4" s="226"/>
      <c r="DU4" s="217"/>
    </row>
    <row r="5" spans="2:125" ht="9" customHeight="1" x14ac:dyDescent="0.25">
      <c r="B5" s="255" t="s">
        <v>238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7"/>
      <c r="O5" s="282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200"/>
      <c r="BF5" s="200"/>
      <c r="BG5" s="200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8"/>
      <c r="DI5" s="208"/>
      <c r="DJ5" s="208"/>
      <c r="DK5" s="208"/>
      <c r="DL5" s="206"/>
      <c r="DM5" s="206"/>
      <c r="DN5" s="206"/>
      <c r="DO5" s="206"/>
      <c r="DP5" s="206"/>
      <c r="DQ5" s="206"/>
      <c r="DR5" s="206"/>
      <c r="DS5" s="206"/>
      <c r="DT5" s="209"/>
      <c r="DU5" s="206"/>
    </row>
    <row r="6" spans="2:125" ht="9" customHeight="1" x14ac:dyDescent="0.25"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60"/>
      <c r="O6" s="284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200"/>
      <c r="BF6" s="200"/>
      <c r="BG6" s="200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8"/>
      <c r="DI6" s="208"/>
      <c r="DJ6" s="208"/>
      <c r="DK6" s="208"/>
      <c r="DL6" s="206"/>
      <c r="DM6" s="206"/>
      <c r="DN6" s="206"/>
      <c r="DO6" s="206"/>
      <c r="DP6" s="206"/>
      <c r="DQ6" s="206"/>
      <c r="DR6" s="206"/>
      <c r="DS6" s="206"/>
      <c r="DT6" s="209"/>
      <c r="DU6" s="206"/>
    </row>
    <row r="7" spans="2:125" ht="10.5" customHeight="1" x14ac:dyDescent="0.25">
      <c r="B7" s="255" t="s">
        <v>45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  <c r="O7" s="286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200"/>
      <c r="BF7" s="200"/>
      <c r="BG7" s="200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8"/>
      <c r="DI7" s="208"/>
      <c r="DJ7" s="208"/>
      <c r="DK7" s="208"/>
      <c r="DL7" s="210"/>
      <c r="DM7" s="210"/>
      <c r="DN7" s="210"/>
      <c r="DO7" s="210"/>
      <c r="DP7" s="210"/>
      <c r="DQ7" s="210"/>
      <c r="DR7" s="210"/>
      <c r="DS7" s="211"/>
      <c r="DT7" s="209"/>
      <c r="DU7" s="207"/>
    </row>
    <row r="8" spans="2:125" ht="10.5" customHeight="1" x14ac:dyDescent="0.25"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60"/>
      <c r="O8" s="288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200"/>
      <c r="BF8" s="200"/>
      <c r="BG8" s="200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8"/>
      <c r="DI8" s="208"/>
      <c r="DJ8" s="208"/>
      <c r="DK8" s="208"/>
      <c r="DL8" s="210"/>
      <c r="DM8" s="210"/>
      <c r="DN8" s="210"/>
      <c r="DO8" s="210"/>
      <c r="DP8" s="210"/>
      <c r="DQ8" s="210"/>
      <c r="DR8" s="210"/>
      <c r="DS8" s="209"/>
      <c r="DT8" s="209"/>
      <c r="DU8" s="207"/>
    </row>
    <row r="9" spans="2:125" ht="10.5" customHeight="1" x14ac:dyDescent="0.25">
      <c r="B9" s="255" t="s">
        <v>46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7"/>
      <c r="O9" s="286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371"/>
      <c r="AL9" s="371"/>
      <c r="AM9" s="371"/>
      <c r="AN9" s="371"/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371"/>
      <c r="BA9" s="371"/>
      <c r="BB9" s="371"/>
      <c r="BC9" s="371"/>
      <c r="BD9" s="371"/>
      <c r="BE9" s="200"/>
      <c r="BF9" s="200"/>
      <c r="BG9" s="200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8"/>
      <c r="DI9" s="208"/>
      <c r="DJ9" s="208"/>
      <c r="DK9" s="208"/>
      <c r="DL9" s="206"/>
      <c r="DM9" s="206"/>
      <c r="DN9" s="206"/>
      <c r="DO9" s="206"/>
      <c r="DP9" s="206"/>
      <c r="DQ9" s="206"/>
      <c r="DR9" s="206"/>
      <c r="DS9" s="206"/>
      <c r="DT9" s="209"/>
      <c r="DU9" s="206"/>
    </row>
    <row r="10" spans="2:125" ht="10.5" customHeight="1" x14ac:dyDescent="0.25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60"/>
      <c r="O10" s="288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200"/>
      <c r="BF10" s="200"/>
      <c r="BG10" s="200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8"/>
      <c r="DI10" s="208"/>
      <c r="DJ10" s="208"/>
      <c r="DK10" s="208"/>
      <c r="DL10" s="206"/>
      <c r="DM10" s="206"/>
      <c r="DN10" s="206"/>
      <c r="DO10" s="206"/>
      <c r="DP10" s="206"/>
      <c r="DQ10" s="206"/>
      <c r="DR10" s="206"/>
      <c r="DS10" s="206"/>
      <c r="DT10" s="209"/>
      <c r="DU10" s="206"/>
    </row>
    <row r="11" spans="2:125" ht="10.5" customHeight="1" x14ac:dyDescent="0.25">
      <c r="B11" s="255" t="s">
        <v>47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  <c r="O11" s="293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200"/>
      <c r="BF11" s="200"/>
      <c r="BG11" s="200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8"/>
      <c r="DI11" s="208"/>
      <c r="DJ11" s="208"/>
      <c r="DK11" s="208"/>
      <c r="DL11" s="210"/>
      <c r="DM11" s="210"/>
      <c r="DN11" s="210"/>
      <c r="DO11" s="210"/>
      <c r="DP11" s="210"/>
      <c r="DQ11" s="210"/>
      <c r="DR11" s="210"/>
      <c r="DS11" s="207"/>
      <c r="DT11" s="209"/>
      <c r="DU11" s="207"/>
    </row>
    <row r="12" spans="2:125" ht="10.5" customHeight="1" x14ac:dyDescent="0.25">
      <c r="B12" s="258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60"/>
      <c r="O12" s="295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200"/>
      <c r="BF12" s="200"/>
      <c r="BG12" s="200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8"/>
      <c r="DI12" s="208"/>
      <c r="DJ12" s="208"/>
      <c r="DK12" s="208"/>
      <c r="DL12" s="210"/>
      <c r="DM12" s="210"/>
      <c r="DN12" s="210"/>
      <c r="DO12" s="210"/>
      <c r="DP12" s="210"/>
      <c r="DQ12" s="210"/>
      <c r="DR12" s="210"/>
      <c r="DS12" s="207"/>
      <c r="DT12" s="209"/>
      <c r="DU12" s="207"/>
    </row>
    <row r="13" spans="2:125" ht="10.5" customHeight="1" x14ac:dyDescent="0.25">
      <c r="B13" s="255" t="s">
        <v>59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  <c r="O13" s="286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200"/>
      <c r="BF13" s="200"/>
      <c r="BG13" s="200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8"/>
      <c r="DI13" s="208"/>
      <c r="DJ13" s="208"/>
      <c r="DK13" s="208"/>
      <c r="DL13" s="212"/>
      <c r="DM13" s="212"/>
      <c r="DN13" s="212"/>
      <c r="DO13" s="212"/>
      <c r="DP13" s="212"/>
      <c r="DQ13" s="212"/>
      <c r="DR13" s="212"/>
      <c r="DS13" s="212"/>
      <c r="DT13" s="213"/>
      <c r="DU13" s="212"/>
    </row>
    <row r="14" spans="2:125" ht="10.5" customHeight="1" x14ac:dyDescent="0.25">
      <c r="B14" s="258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60"/>
      <c r="O14" s="290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200"/>
      <c r="BF14" s="200"/>
      <c r="BG14" s="200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8"/>
      <c r="DI14" s="208"/>
      <c r="DJ14" s="208"/>
      <c r="DK14" s="208"/>
      <c r="DL14" s="212"/>
      <c r="DM14" s="212"/>
      <c r="DN14" s="212"/>
      <c r="DO14" s="212"/>
      <c r="DP14" s="212"/>
      <c r="DQ14" s="212"/>
      <c r="DR14" s="212"/>
      <c r="DS14" s="212"/>
      <c r="DT14" s="213"/>
      <c r="DU14" s="212"/>
    </row>
    <row r="15" spans="2:125" ht="10.5" customHeight="1" x14ac:dyDescent="0.25">
      <c r="B15" s="255" t="s">
        <v>48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97"/>
      <c r="P15" s="298"/>
      <c r="Q15" s="298"/>
      <c r="R15" s="298"/>
      <c r="S15" s="298"/>
      <c r="T15" s="298"/>
      <c r="U15" s="298"/>
      <c r="V15" s="298"/>
      <c r="W15" s="298"/>
      <c r="X15" s="299"/>
      <c r="Y15" s="201"/>
      <c r="Z15" s="202"/>
      <c r="AA15" s="303" t="str">
        <f>"PREZZO PIENO TOTALE : "</f>
        <v xml:space="preserve">PREZZO PIENO TOTALE : </v>
      </c>
      <c r="AB15" s="304"/>
      <c r="AC15" s="304"/>
      <c r="AD15" s="304"/>
      <c r="AE15" s="304"/>
      <c r="AF15" s="304"/>
      <c r="AG15" s="304"/>
      <c r="AH15" s="304"/>
      <c r="AI15" s="304"/>
      <c r="AJ15" s="305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81"/>
      <c r="BF15" s="81"/>
      <c r="BG15" s="81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11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07"/>
      <c r="DT15" s="209"/>
      <c r="DU15" s="207"/>
    </row>
    <row r="16" spans="2:125" ht="10.5" customHeight="1" x14ac:dyDescent="0.25">
      <c r="B16" s="258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300"/>
      <c r="P16" s="301"/>
      <c r="Q16" s="301"/>
      <c r="R16" s="301"/>
      <c r="S16" s="301"/>
      <c r="T16" s="301"/>
      <c r="U16" s="301"/>
      <c r="V16" s="301"/>
      <c r="W16" s="301"/>
      <c r="X16" s="302"/>
      <c r="Y16" s="81"/>
      <c r="Z16" s="81"/>
      <c r="AA16" s="306"/>
      <c r="AB16" s="307"/>
      <c r="AC16" s="307"/>
      <c r="AD16" s="307"/>
      <c r="AE16" s="307"/>
      <c r="AF16" s="307"/>
      <c r="AG16" s="307"/>
      <c r="AH16" s="307"/>
      <c r="AI16" s="307"/>
      <c r="AJ16" s="308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81"/>
      <c r="BF16" s="81"/>
      <c r="BG16" s="81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11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07"/>
      <c r="DT16" s="209"/>
      <c r="DU16" s="207"/>
    </row>
    <row r="17" spans="2:125" ht="12" customHeight="1" x14ac:dyDescent="0.25">
      <c r="B17" s="255" t="s">
        <v>123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7"/>
      <c r="O17" s="269"/>
      <c r="P17" s="270"/>
      <c r="Q17" s="270"/>
      <c r="R17" s="271"/>
      <c r="S17" s="272" t="s">
        <v>124</v>
      </c>
      <c r="T17" s="272"/>
      <c r="U17" s="272"/>
      <c r="V17" s="273"/>
      <c r="W17" s="276"/>
      <c r="X17" s="277"/>
      <c r="Y17" s="20"/>
      <c r="Z17" s="19"/>
      <c r="AA17" s="280" t="str">
        <f>"€"</f>
        <v>€</v>
      </c>
      <c r="AB17" s="281"/>
      <c r="AC17" s="253">
        <f>IF(CARTELLINO!$P$102="#VALORE!",0,CARTELLINO!$P$102*2)</f>
        <v>0</v>
      </c>
      <c r="AD17" s="253"/>
      <c r="AE17" s="253"/>
      <c r="AF17" s="253"/>
      <c r="AG17" s="253"/>
      <c r="AH17" s="253"/>
      <c r="AI17" s="253"/>
      <c r="AJ17" s="254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81"/>
      <c r="BF17" s="4"/>
      <c r="BG17" s="4"/>
      <c r="BH17" s="210"/>
      <c r="BI17" s="210"/>
      <c r="BJ17" s="210"/>
      <c r="BK17" s="210"/>
      <c r="BL17" s="210"/>
      <c r="BM17" s="210"/>
      <c r="BN17" s="210"/>
      <c r="BO17" s="210"/>
      <c r="BP17" s="210"/>
      <c r="BQ17" s="207"/>
      <c r="BR17" s="209"/>
      <c r="BS17" s="207"/>
      <c r="BU17" s="325"/>
      <c r="BV17" s="325"/>
      <c r="BW17" s="325"/>
      <c r="BX17" s="325"/>
      <c r="BY17" s="326"/>
      <c r="BZ17" s="326"/>
      <c r="CA17" s="207"/>
      <c r="CB17" s="211"/>
      <c r="CC17" s="327"/>
      <c r="CD17" s="327"/>
      <c r="CE17" s="328"/>
      <c r="CF17" s="328"/>
      <c r="CG17" s="328"/>
      <c r="CH17" s="328"/>
      <c r="CI17" s="328"/>
      <c r="CJ17" s="328"/>
      <c r="CK17" s="328"/>
      <c r="CL17" s="328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07"/>
      <c r="DT17" s="209"/>
      <c r="DU17" s="207"/>
    </row>
    <row r="18" spans="2:125" ht="12" customHeight="1" x14ac:dyDescent="0.25">
      <c r="B18" s="258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60"/>
      <c r="O18" s="264"/>
      <c r="P18" s="265"/>
      <c r="Q18" s="265"/>
      <c r="R18" s="266"/>
      <c r="S18" s="274"/>
      <c r="T18" s="274"/>
      <c r="U18" s="274"/>
      <c r="V18" s="275"/>
      <c r="W18" s="278"/>
      <c r="X18" s="279"/>
      <c r="Y18" s="20"/>
      <c r="Z18" s="19"/>
      <c r="AA18" s="19"/>
      <c r="AB18" s="19"/>
      <c r="AC18" s="19"/>
      <c r="AD18" s="19"/>
      <c r="AE18" s="19"/>
      <c r="AF18" s="19"/>
      <c r="AG18" s="21"/>
      <c r="AH18" s="21"/>
      <c r="AI18" s="21"/>
      <c r="AJ18" s="2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81"/>
      <c r="BF18" s="4"/>
      <c r="BG18" s="4"/>
      <c r="BH18" s="210"/>
      <c r="BI18" s="210"/>
      <c r="BJ18" s="210"/>
      <c r="BK18" s="210"/>
      <c r="BL18" s="210"/>
      <c r="BM18" s="210"/>
      <c r="BN18" s="210"/>
      <c r="BO18" s="210"/>
      <c r="BP18" s="210"/>
      <c r="BQ18" s="207"/>
      <c r="BR18" s="209"/>
      <c r="BS18" s="207"/>
      <c r="BU18" s="325"/>
      <c r="BV18" s="325"/>
      <c r="BW18" s="325"/>
      <c r="BX18" s="325"/>
      <c r="BY18" s="326"/>
      <c r="BZ18" s="326"/>
      <c r="CA18" s="207"/>
      <c r="CB18" s="211"/>
      <c r="CC18" s="211"/>
      <c r="CD18" s="211"/>
      <c r="CE18" s="211"/>
      <c r="CF18" s="211"/>
      <c r="CG18" s="211"/>
      <c r="CH18" s="211"/>
      <c r="CI18" s="214"/>
      <c r="CJ18" s="214"/>
      <c r="CK18" s="214"/>
      <c r="CL18" s="214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07"/>
      <c r="DT18" s="209"/>
      <c r="DU18" s="207"/>
    </row>
    <row r="19" spans="2:125" ht="10.5" customHeight="1" x14ac:dyDescent="0.25">
      <c r="B19" s="255" t="s">
        <v>52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7"/>
      <c r="O19" s="261"/>
      <c r="P19" s="262"/>
      <c r="Q19" s="262"/>
      <c r="R19" s="263"/>
      <c r="S19" s="310" t="str">
        <f>IF($Y$19="SI","SPECULARI",IF($Y$19="NO","",IF($O$19&gt;1,"SPECULARI ?","")))</f>
        <v/>
      </c>
      <c r="T19" s="311"/>
      <c r="U19" s="311"/>
      <c r="V19" s="311"/>
      <c r="W19" s="311"/>
      <c r="X19" s="311"/>
      <c r="Y19" s="312"/>
      <c r="Z19" s="313"/>
      <c r="AA19" s="315" t="str">
        <f>IF(OR($O$25=2,$O$25=3),"L. ANTE  mm","")</f>
        <v/>
      </c>
      <c r="AB19" s="316"/>
      <c r="AC19" s="316"/>
      <c r="AD19" s="316"/>
      <c r="AE19" s="316"/>
      <c r="AF19" s="316"/>
      <c r="AG19" s="319" t="str">
        <f>IF($O$25=2,MROUND(($O$23+20)/2,0.5),IF($O$25=3,MROUND(($O$23+40)/3,0.5),""))</f>
        <v/>
      </c>
      <c r="AH19" s="319"/>
      <c r="AI19" s="319"/>
      <c r="AJ19" s="320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81"/>
      <c r="BF19" s="4"/>
      <c r="BG19" s="4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5"/>
      <c r="BS19" s="210"/>
      <c r="BU19" s="329"/>
      <c r="BV19" s="329"/>
      <c r="BW19" s="329"/>
      <c r="BX19" s="329"/>
      <c r="BY19" s="329"/>
      <c r="BZ19" s="329"/>
      <c r="CA19" s="326"/>
      <c r="CB19" s="326"/>
      <c r="CC19" s="323"/>
      <c r="CD19" s="323"/>
      <c r="CE19" s="323"/>
      <c r="CF19" s="323"/>
      <c r="CG19" s="323"/>
      <c r="CH19" s="323"/>
      <c r="CI19" s="330"/>
      <c r="CJ19" s="330"/>
      <c r="CK19" s="330"/>
      <c r="CL19" s="330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5"/>
      <c r="DU19" s="210"/>
    </row>
    <row r="20" spans="2:125" ht="10.5" customHeight="1" x14ac:dyDescent="0.25"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60"/>
      <c r="O20" s="264"/>
      <c r="P20" s="265"/>
      <c r="Q20" s="265"/>
      <c r="R20" s="266"/>
      <c r="S20" s="310"/>
      <c r="T20" s="311"/>
      <c r="U20" s="311"/>
      <c r="V20" s="311"/>
      <c r="W20" s="311"/>
      <c r="X20" s="311"/>
      <c r="Y20" s="278"/>
      <c r="Z20" s="314"/>
      <c r="AA20" s="317"/>
      <c r="AB20" s="318"/>
      <c r="AC20" s="318"/>
      <c r="AD20" s="318"/>
      <c r="AE20" s="318"/>
      <c r="AF20" s="318"/>
      <c r="AG20" s="321"/>
      <c r="AH20" s="321"/>
      <c r="AI20" s="321"/>
      <c r="AJ20" s="322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82"/>
      <c r="BF20" s="82"/>
      <c r="BG20" s="82"/>
      <c r="BH20" s="216"/>
      <c r="BI20" s="210"/>
      <c r="BJ20" s="210"/>
      <c r="BK20" s="210"/>
      <c r="BL20" s="210"/>
      <c r="BM20" s="210"/>
      <c r="BN20" s="210"/>
      <c r="BO20" s="210"/>
      <c r="BP20" s="210"/>
      <c r="BQ20" s="210"/>
      <c r="BR20" s="215"/>
      <c r="BS20" s="210"/>
      <c r="BU20" s="329"/>
      <c r="BV20" s="329"/>
      <c r="BW20" s="329"/>
      <c r="BX20" s="329"/>
      <c r="BY20" s="329"/>
      <c r="BZ20" s="329"/>
      <c r="CA20" s="326"/>
      <c r="CB20" s="326"/>
      <c r="CC20" s="323"/>
      <c r="CD20" s="323"/>
      <c r="CE20" s="323"/>
      <c r="CF20" s="323"/>
      <c r="CG20" s="323"/>
      <c r="CH20" s="323"/>
      <c r="CI20" s="330"/>
      <c r="CJ20" s="330"/>
      <c r="CK20" s="330"/>
      <c r="CL20" s="330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16"/>
      <c r="DE20" s="217"/>
      <c r="DF20" s="217"/>
      <c r="DG20" s="216"/>
      <c r="DH20" s="216"/>
      <c r="DI20" s="216"/>
      <c r="DJ20" s="216"/>
      <c r="DK20" s="210"/>
      <c r="DL20" s="210"/>
      <c r="DM20" s="210"/>
      <c r="DN20" s="210"/>
      <c r="DO20" s="210"/>
      <c r="DP20" s="210"/>
      <c r="DQ20" s="210"/>
      <c r="DR20" s="210"/>
      <c r="DS20" s="210"/>
      <c r="DT20" s="215"/>
      <c r="DU20" s="210"/>
    </row>
    <row r="21" spans="2:125" ht="10.5" customHeight="1" x14ac:dyDescent="0.25">
      <c r="B21" s="255" t="s">
        <v>53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7"/>
      <c r="O21" s="261"/>
      <c r="P21" s="262"/>
      <c r="Q21" s="262"/>
      <c r="R21" s="263"/>
      <c r="S21" s="20"/>
      <c r="T21" s="22"/>
      <c r="U21" s="22"/>
      <c r="V21" s="22"/>
      <c r="W21" s="22"/>
      <c r="X21" s="22"/>
      <c r="Y21" s="22"/>
      <c r="Z21" s="22"/>
      <c r="AA21" s="317" t="str">
        <f>IF($O$21&lt;&gt;"","H. ANTE  mm","")</f>
        <v/>
      </c>
      <c r="AB21" s="318"/>
      <c r="AC21" s="318"/>
      <c r="AD21" s="318"/>
      <c r="AE21" s="318"/>
      <c r="AF21" s="318"/>
      <c r="AG21" s="348" t="str">
        <f>IF($O$21&lt;&gt;"",$O$21+85,"")</f>
        <v/>
      </c>
      <c r="AH21" s="348"/>
      <c r="AI21" s="348"/>
      <c r="AJ21" s="349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52" t="str">
        <f>IF($O$21&lt;&gt;"",$O$21,"")</f>
        <v/>
      </c>
      <c r="BF21" s="352"/>
      <c r="BG21" s="352"/>
      <c r="BH21" s="212"/>
      <c r="BI21" s="212"/>
      <c r="BJ21" s="210"/>
      <c r="BK21" s="210"/>
      <c r="BL21" s="210"/>
      <c r="BM21" s="210"/>
      <c r="BN21" s="210"/>
      <c r="BO21" s="210"/>
      <c r="BP21" s="210"/>
      <c r="BQ21" s="210"/>
      <c r="BR21" s="215"/>
      <c r="BS21" s="210"/>
      <c r="BU21" s="207"/>
      <c r="BV21" s="218"/>
      <c r="BW21" s="218"/>
      <c r="BX21" s="218"/>
      <c r="BY21" s="218"/>
      <c r="BZ21" s="218"/>
      <c r="CA21" s="218"/>
      <c r="CB21" s="218"/>
      <c r="CC21" s="323"/>
      <c r="CD21" s="323"/>
      <c r="CE21" s="323"/>
      <c r="CF21" s="323"/>
      <c r="CG21" s="323"/>
      <c r="CH21" s="323"/>
      <c r="CI21" s="324"/>
      <c r="CJ21" s="324"/>
      <c r="CK21" s="324"/>
      <c r="CL21" s="324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17"/>
      <c r="DE21" s="217"/>
      <c r="DF21" s="217"/>
      <c r="DG21" s="331"/>
      <c r="DH21" s="331"/>
      <c r="DI21" s="331"/>
      <c r="DJ21" s="212"/>
      <c r="DK21" s="212"/>
      <c r="DL21" s="210"/>
      <c r="DM21" s="210"/>
      <c r="DN21" s="210"/>
      <c r="DO21" s="210"/>
      <c r="DP21" s="210"/>
      <c r="DQ21" s="210"/>
      <c r="DR21" s="210"/>
      <c r="DS21" s="210"/>
      <c r="DT21" s="215"/>
      <c r="DU21" s="210"/>
    </row>
    <row r="22" spans="2:125" ht="10.5" customHeight="1" x14ac:dyDescent="0.25">
      <c r="B22" s="258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60"/>
      <c r="O22" s="264"/>
      <c r="P22" s="265"/>
      <c r="Q22" s="265"/>
      <c r="R22" s="266"/>
      <c r="S22" s="20"/>
      <c r="T22" s="22"/>
      <c r="U22" s="22"/>
      <c r="V22" s="22"/>
      <c r="W22" s="22"/>
      <c r="X22" s="22"/>
      <c r="Y22" s="22"/>
      <c r="Z22" s="22"/>
      <c r="AA22" s="346"/>
      <c r="AB22" s="347"/>
      <c r="AC22" s="347"/>
      <c r="AD22" s="347"/>
      <c r="AE22" s="347"/>
      <c r="AF22" s="347"/>
      <c r="AG22" s="350"/>
      <c r="AH22" s="350"/>
      <c r="AI22" s="350"/>
      <c r="AJ22" s="35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52"/>
      <c r="BF22" s="352"/>
      <c r="BG22" s="352"/>
      <c r="BH22" s="212"/>
      <c r="BI22" s="212"/>
      <c r="BJ22" s="210"/>
      <c r="BK22" s="210"/>
      <c r="BL22" s="210"/>
      <c r="BM22" s="210"/>
      <c r="BN22" s="210"/>
      <c r="BO22" s="210"/>
      <c r="BP22" s="210"/>
      <c r="BQ22" s="210"/>
      <c r="BR22" s="215"/>
      <c r="BS22" s="210"/>
      <c r="BU22" s="207"/>
      <c r="BV22" s="218"/>
      <c r="BW22" s="218"/>
      <c r="BX22" s="218"/>
      <c r="BY22" s="218"/>
      <c r="BZ22" s="218"/>
      <c r="CA22" s="218"/>
      <c r="CB22" s="218"/>
      <c r="CC22" s="323"/>
      <c r="CD22" s="323"/>
      <c r="CE22" s="323"/>
      <c r="CF22" s="323"/>
      <c r="CG22" s="323"/>
      <c r="CH22" s="323"/>
      <c r="CI22" s="324"/>
      <c r="CJ22" s="324"/>
      <c r="CK22" s="324"/>
      <c r="CL22" s="324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11"/>
      <c r="DE22" s="211"/>
      <c r="DF22" s="211"/>
      <c r="DG22" s="331"/>
      <c r="DH22" s="331"/>
      <c r="DI22" s="331"/>
      <c r="DJ22" s="212"/>
      <c r="DK22" s="212"/>
      <c r="DL22" s="210"/>
      <c r="DM22" s="210"/>
      <c r="DN22" s="210"/>
      <c r="DO22" s="210"/>
      <c r="DP22" s="210"/>
      <c r="DQ22" s="210"/>
      <c r="DR22" s="210"/>
      <c r="DS22" s="210"/>
      <c r="DT22" s="215"/>
      <c r="DU22" s="210"/>
    </row>
    <row r="23" spans="2:125" ht="10.5" customHeight="1" x14ac:dyDescent="0.25">
      <c r="B23" s="255" t="s">
        <v>54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7"/>
      <c r="O23" s="261"/>
      <c r="P23" s="262"/>
      <c r="Q23" s="262"/>
      <c r="R23" s="263"/>
      <c r="S23" s="374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8"/>
      <c r="AF23" s="378"/>
      <c r="AG23" s="378"/>
      <c r="AH23" s="378"/>
      <c r="AI23" s="378"/>
      <c r="AJ23" s="378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81"/>
      <c r="BF23" s="81"/>
      <c r="BG23" s="81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3"/>
      <c r="BS23" s="212"/>
      <c r="BT23" s="332"/>
      <c r="BU23" s="332"/>
      <c r="BV23" s="332"/>
      <c r="BW23" s="332"/>
      <c r="BX23" s="332"/>
      <c r="BY23" s="332"/>
      <c r="BZ23" s="332"/>
      <c r="CA23" s="333"/>
      <c r="CB23" s="333"/>
      <c r="CC23" s="333"/>
      <c r="CD23" s="333"/>
      <c r="CE23" s="333"/>
      <c r="CF23" s="333"/>
      <c r="CG23" s="329"/>
      <c r="CH23" s="329"/>
      <c r="CI23" s="329"/>
      <c r="CJ23" s="329"/>
      <c r="CK23" s="329"/>
      <c r="CL23" s="329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11"/>
      <c r="DE23" s="211"/>
      <c r="DF23" s="211"/>
      <c r="DG23" s="211"/>
      <c r="DH23" s="219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3"/>
      <c r="DU23" s="212"/>
    </row>
    <row r="24" spans="2:125" ht="10.5" customHeight="1" x14ac:dyDescent="0.25">
      <c r="B24" s="258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60"/>
      <c r="O24" s="264"/>
      <c r="P24" s="265"/>
      <c r="Q24" s="265"/>
      <c r="R24" s="266"/>
      <c r="S24" s="374"/>
      <c r="T24" s="375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9"/>
      <c r="AF24" s="379"/>
      <c r="AG24" s="379"/>
      <c r="AH24" s="379"/>
      <c r="AI24" s="379"/>
      <c r="AJ24" s="379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81"/>
      <c r="BF24" s="81"/>
      <c r="BG24" s="81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3"/>
      <c r="BS24" s="212"/>
      <c r="BT24" s="332"/>
      <c r="BU24" s="332"/>
      <c r="BV24" s="332"/>
      <c r="BW24" s="332"/>
      <c r="BX24" s="332"/>
      <c r="BY24" s="332"/>
      <c r="BZ24" s="332"/>
      <c r="CA24" s="333"/>
      <c r="CB24" s="333"/>
      <c r="CC24" s="333"/>
      <c r="CD24" s="333"/>
      <c r="CE24" s="333"/>
      <c r="CF24" s="333"/>
      <c r="CG24" s="329"/>
      <c r="CH24" s="329"/>
      <c r="CI24" s="329"/>
      <c r="CJ24" s="329"/>
      <c r="CK24" s="329"/>
      <c r="CL24" s="329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11"/>
      <c r="DE24" s="211"/>
      <c r="DF24" s="211"/>
      <c r="DG24" s="211"/>
      <c r="DH24" s="219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3"/>
      <c r="DU24" s="212"/>
    </row>
    <row r="25" spans="2:125" ht="10.5" customHeight="1" x14ac:dyDescent="0.25">
      <c r="B25" s="255" t="s">
        <v>55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  <c r="O25" s="261"/>
      <c r="P25" s="262"/>
      <c r="Q25" s="262"/>
      <c r="R25" s="263"/>
      <c r="S25" s="374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9"/>
      <c r="AF25" s="379"/>
      <c r="AG25" s="379"/>
      <c r="AH25" s="379"/>
      <c r="AI25" s="379"/>
      <c r="AJ25" s="379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81"/>
      <c r="BF25" s="81"/>
      <c r="BG25" s="81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3"/>
      <c r="BS25" s="212"/>
      <c r="BT25" s="332"/>
      <c r="BU25" s="332"/>
      <c r="BV25" s="332"/>
      <c r="BW25" s="332"/>
      <c r="BX25" s="332"/>
      <c r="BY25" s="332"/>
      <c r="BZ25" s="332"/>
      <c r="CA25" s="333"/>
      <c r="CB25" s="333"/>
      <c r="CC25" s="333"/>
      <c r="CD25" s="333"/>
      <c r="CE25" s="333"/>
      <c r="CF25" s="333"/>
      <c r="CG25" s="329"/>
      <c r="CH25" s="329"/>
      <c r="CI25" s="329"/>
      <c r="CJ25" s="329"/>
      <c r="CK25" s="329"/>
      <c r="CL25" s="329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11"/>
      <c r="DE25" s="211"/>
      <c r="DF25" s="211"/>
      <c r="DG25" s="211"/>
      <c r="DH25" s="219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3"/>
      <c r="DU25" s="212"/>
    </row>
    <row r="26" spans="2:125" ht="10.5" customHeight="1" x14ac:dyDescent="0.25">
      <c r="B26" s="258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  <c r="O26" s="264"/>
      <c r="P26" s="265"/>
      <c r="Q26" s="265"/>
      <c r="R26" s="266"/>
      <c r="S26" s="374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9"/>
      <c r="AF26" s="379"/>
      <c r="AG26" s="379"/>
      <c r="AH26" s="379"/>
      <c r="AI26" s="379"/>
      <c r="AJ26" s="379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81"/>
      <c r="BF26" s="81"/>
      <c r="BG26" s="81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3"/>
      <c r="BS26" s="212"/>
      <c r="BT26" s="332"/>
      <c r="BU26" s="332"/>
      <c r="BV26" s="332"/>
      <c r="BW26" s="332"/>
      <c r="BX26" s="332"/>
      <c r="BY26" s="332"/>
      <c r="BZ26" s="332"/>
      <c r="CA26" s="333"/>
      <c r="CB26" s="333"/>
      <c r="CC26" s="333"/>
      <c r="CD26" s="333"/>
      <c r="CE26" s="333"/>
      <c r="CF26" s="333"/>
      <c r="CG26" s="329"/>
      <c r="CH26" s="329"/>
      <c r="CI26" s="329"/>
      <c r="CJ26" s="329"/>
      <c r="CK26" s="329"/>
      <c r="CL26" s="329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11"/>
      <c r="DE26" s="211"/>
      <c r="DF26" s="211"/>
      <c r="DG26" s="211"/>
      <c r="DH26" s="219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3"/>
      <c r="DU26" s="212"/>
    </row>
    <row r="27" spans="2:125" ht="10.5" customHeight="1" x14ac:dyDescent="0.25">
      <c r="B27" s="334" t="s">
        <v>61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6"/>
      <c r="O27" s="261"/>
      <c r="P27" s="262"/>
      <c r="Q27" s="262"/>
      <c r="R27" s="263"/>
      <c r="S27" s="374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9"/>
      <c r="AF27" s="379"/>
      <c r="AG27" s="379"/>
      <c r="AH27" s="379"/>
      <c r="AI27" s="379"/>
      <c r="AJ27" s="379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81"/>
      <c r="BF27" s="81"/>
      <c r="BG27" s="81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3"/>
      <c r="BS27" s="212"/>
      <c r="BT27" s="332"/>
      <c r="BU27" s="332"/>
      <c r="BV27" s="332"/>
      <c r="BW27" s="332"/>
      <c r="BX27" s="332"/>
      <c r="BY27" s="332"/>
      <c r="BZ27" s="332"/>
      <c r="CA27" s="333"/>
      <c r="CB27" s="333"/>
      <c r="CC27" s="333"/>
      <c r="CD27" s="333"/>
      <c r="CE27" s="333"/>
      <c r="CF27" s="333"/>
      <c r="CG27" s="329"/>
      <c r="CH27" s="329"/>
      <c r="CI27" s="329"/>
      <c r="CJ27" s="329"/>
      <c r="CK27" s="329"/>
      <c r="CL27" s="329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11"/>
      <c r="DE27" s="211"/>
      <c r="DF27" s="211"/>
      <c r="DG27" s="211"/>
      <c r="DH27" s="219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3"/>
      <c r="DU27" s="212"/>
    </row>
    <row r="28" spans="2:125" ht="10.5" customHeight="1" x14ac:dyDescent="0.25">
      <c r="B28" s="337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9"/>
      <c r="O28" s="264"/>
      <c r="P28" s="265"/>
      <c r="Q28" s="265"/>
      <c r="R28" s="266"/>
      <c r="S28" s="374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9"/>
      <c r="AF28" s="379"/>
      <c r="AG28" s="379"/>
      <c r="AH28" s="379"/>
      <c r="AI28" s="379"/>
      <c r="AJ28" s="379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81"/>
      <c r="BF28" s="81"/>
      <c r="BG28" s="81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3"/>
      <c r="BS28" s="212"/>
      <c r="BT28" s="332"/>
      <c r="BU28" s="332"/>
      <c r="BV28" s="332"/>
      <c r="BW28" s="332"/>
      <c r="BX28" s="332"/>
      <c r="BY28" s="332"/>
      <c r="BZ28" s="332"/>
      <c r="CA28" s="333"/>
      <c r="CB28" s="333"/>
      <c r="CC28" s="333"/>
      <c r="CD28" s="333"/>
      <c r="CE28" s="333"/>
      <c r="CF28" s="333"/>
      <c r="CG28" s="329"/>
      <c r="CH28" s="329"/>
      <c r="CI28" s="329"/>
      <c r="CJ28" s="329"/>
      <c r="CK28" s="329"/>
      <c r="CL28" s="329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11"/>
      <c r="DE28" s="211"/>
      <c r="DF28" s="211"/>
      <c r="DG28" s="211"/>
      <c r="DH28" s="219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3"/>
      <c r="DU28" s="212"/>
    </row>
    <row r="29" spans="2:125" ht="10.5" customHeight="1" x14ac:dyDescent="0.25">
      <c r="B29" s="255" t="s">
        <v>63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  <c r="O29" s="340"/>
      <c r="P29" s="341"/>
      <c r="Q29" s="341"/>
      <c r="R29" s="342"/>
      <c r="S29" s="374"/>
      <c r="T29" s="375"/>
      <c r="U29" s="375"/>
      <c r="V29" s="375"/>
      <c r="W29" s="375"/>
      <c r="X29" s="375"/>
      <c r="Y29" s="375"/>
      <c r="Z29" s="375"/>
      <c r="AA29" s="375"/>
      <c r="AB29" s="375"/>
      <c r="AC29" s="375"/>
      <c r="AD29" s="375"/>
      <c r="AE29" s="379"/>
      <c r="AF29" s="379"/>
      <c r="AG29" s="379"/>
      <c r="AH29" s="379"/>
      <c r="AI29" s="379"/>
      <c r="AJ29" s="379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81"/>
      <c r="BF29" s="81"/>
      <c r="BG29" s="81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3"/>
      <c r="BS29" s="212"/>
      <c r="BT29" s="332"/>
      <c r="BU29" s="332"/>
      <c r="BV29" s="332"/>
      <c r="BW29" s="332"/>
      <c r="BX29" s="332"/>
      <c r="BY29" s="332"/>
      <c r="BZ29" s="332"/>
      <c r="CA29" s="333"/>
      <c r="CB29" s="333"/>
      <c r="CC29" s="333"/>
      <c r="CD29" s="333"/>
      <c r="CE29" s="333"/>
      <c r="CF29" s="333"/>
      <c r="CG29" s="329"/>
      <c r="CH29" s="329"/>
      <c r="CI29" s="329"/>
      <c r="CJ29" s="329"/>
      <c r="CK29" s="329"/>
      <c r="CL29" s="329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11"/>
      <c r="DE29" s="211"/>
      <c r="DF29" s="211"/>
      <c r="DG29" s="211"/>
      <c r="DH29" s="219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3"/>
      <c r="DU29" s="212"/>
    </row>
    <row r="30" spans="2:125" ht="10.5" customHeight="1" x14ac:dyDescent="0.25">
      <c r="B30" s="258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60"/>
      <c r="O30" s="343"/>
      <c r="P30" s="344"/>
      <c r="Q30" s="344"/>
      <c r="R30" s="345"/>
      <c r="S30" s="374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9"/>
      <c r="AF30" s="379"/>
      <c r="AG30" s="379"/>
      <c r="AH30" s="379"/>
      <c r="AI30" s="379"/>
      <c r="AJ30" s="379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81"/>
      <c r="BF30" s="81"/>
      <c r="BG30" s="81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3"/>
      <c r="BS30" s="212"/>
      <c r="BT30" s="332"/>
      <c r="BU30" s="332"/>
      <c r="BV30" s="332"/>
      <c r="BW30" s="332"/>
      <c r="BX30" s="332"/>
      <c r="BY30" s="332"/>
      <c r="BZ30" s="332"/>
      <c r="CA30" s="333"/>
      <c r="CB30" s="333"/>
      <c r="CC30" s="333"/>
      <c r="CD30" s="333"/>
      <c r="CE30" s="333"/>
      <c r="CF30" s="333"/>
      <c r="CG30" s="329"/>
      <c r="CH30" s="329"/>
      <c r="CI30" s="329"/>
      <c r="CJ30" s="329"/>
      <c r="CK30" s="329"/>
      <c r="CL30" s="329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11"/>
      <c r="DE30" s="211"/>
      <c r="DF30" s="211"/>
      <c r="DG30" s="211"/>
      <c r="DH30" s="219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3"/>
      <c r="DU30" s="212"/>
    </row>
    <row r="31" spans="2:125" ht="10.5" customHeight="1" x14ac:dyDescent="0.25">
      <c r="B31" s="255" t="s">
        <v>201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  <c r="O31" s="340"/>
      <c r="P31" s="341"/>
      <c r="Q31" s="341"/>
      <c r="R31" s="342"/>
      <c r="S31" s="374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9"/>
      <c r="AF31" s="379"/>
      <c r="AG31" s="379"/>
      <c r="AH31" s="379"/>
      <c r="AI31" s="379"/>
      <c r="AJ31" s="379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81"/>
      <c r="BF31" s="81"/>
      <c r="BG31" s="81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3"/>
      <c r="BS31" s="212"/>
      <c r="BT31" s="332"/>
      <c r="BU31" s="332"/>
      <c r="BV31" s="332"/>
      <c r="BW31" s="332"/>
      <c r="BX31" s="332"/>
      <c r="BY31" s="332"/>
      <c r="BZ31" s="332"/>
      <c r="CA31" s="333"/>
      <c r="CB31" s="333"/>
      <c r="CC31" s="333"/>
      <c r="CD31" s="333"/>
      <c r="CE31" s="333"/>
      <c r="CF31" s="333"/>
      <c r="CG31" s="329"/>
      <c r="CH31" s="329"/>
      <c r="CI31" s="329"/>
      <c r="CJ31" s="329"/>
      <c r="CK31" s="329"/>
      <c r="CL31" s="329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11"/>
      <c r="DE31" s="211"/>
      <c r="DF31" s="211"/>
      <c r="DG31" s="211"/>
      <c r="DH31" s="219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3"/>
      <c r="DU31" s="212"/>
    </row>
    <row r="32" spans="2:125" ht="10.5" customHeight="1" x14ac:dyDescent="0.25">
      <c r="B32" s="258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60"/>
      <c r="O32" s="343"/>
      <c r="P32" s="344"/>
      <c r="Q32" s="344"/>
      <c r="R32" s="345"/>
      <c r="S32" s="374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375"/>
      <c r="AE32" s="379"/>
      <c r="AF32" s="379"/>
      <c r="AG32" s="379"/>
      <c r="AH32" s="379"/>
      <c r="AI32" s="379"/>
      <c r="AJ32" s="379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81"/>
      <c r="BF32" s="81"/>
      <c r="BG32" s="81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3"/>
      <c r="BS32" s="212"/>
      <c r="BT32" s="332"/>
      <c r="BU32" s="332"/>
      <c r="BV32" s="332"/>
      <c r="BW32" s="332"/>
      <c r="BX32" s="332"/>
      <c r="BY32" s="332"/>
      <c r="BZ32" s="332"/>
      <c r="CA32" s="333"/>
      <c r="CB32" s="333"/>
      <c r="CC32" s="333"/>
      <c r="CD32" s="333"/>
      <c r="CE32" s="333"/>
      <c r="CF32" s="333"/>
      <c r="CG32" s="329"/>
      <c r="CH32" s="329"/>
      <c r="CI32" s="329"/>
      <c r="CJ32" s="329"/>
      <c r="CK32" s="329"/>
      <c r="CL32" s="329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11"/>
      <c r="DE32" s="211"/>
      <c r="DF32" s="211"/>
      <c r="DG32" s="211"/>
      <c r="DH32" s="219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3"/>
      <c r="DU32" s="212"/>
    </row>
    <row r="33" spans="2:125" ht="10.5" customHeight="1" x14ac:dyDescent="0.25">
      <c r="B33" s="255" t="s">
        <v>64</v>
      </c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7"/>
      <c r="O33" s="340"/>
      <c r="P33" s="341"/>
      <c r="Q33" s="341"/>
      <c r="R33" s="342"/>
      <c r="S33" s="374"/>
      <c r="T33" s="375"/>
      <c r="U33" s="375"/>
      <c r="V33" s="375"/>
      <c r="W33" s="375"/>
      <c r="X33" s="375"/>
      <c r="Y33" s="375"/>
      <c r="Z33" s="375"/>
      <c r="AA33" s="375"/>
      <c r="AB33" s="375"/>
      <c r="AC33" s="375"/>
      <c r="AD33" s="375"/>
      <c r="AE33" s="379"/>
      <c r="AF33" s="379"/>
      <c r="AG33" s="379"/>
      <c r="AH33" s="379"/>
      <c r="AI33" s="379"/>
      <c r="AJ33" s="379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81"/>
      <c r="BF33" s="81"/>
      <c r="BG33" s="81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3"/>
      <c r="BS33" s="212"/>
      <c r="BT33" s="332"/>
      <c r="BU33" s="332"/>
      <c r="BV33" s="332"/>
      <c r="BW33" s="332"/>
      <c r="BX33" s="332"/>
      <c r="BY33" s="332"/>
      <c r="BZ33" s="332"/>
      <c r="CA33" s="333"/>
      <c r="CB33" s="333"/>
      <c r="CC33" s="333"/>
      <c r="CD33" s="333"/>
      <c r="CE33" s="333"/>
      <c r="CF33" s="333"/>
      <c r="CG33" s="329"/>
      <c r="CH33" s="329"/>
      <c r="CI33" s="329"/>
      <c r="CJ33" s="329"/>
      <c r="CK33" s="329"/>
      <c r="CL33" s="329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20"/>
      <c r="DE33" s="220"/>
      <c r="DF33" s="220"/>
      <c r="DG33" s="220"/>
      <c r="DH33" s="219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3"/>
      <c r="DU33" s="212"/>
    </row>
    <row r="34" spans="2:125" ht="10.5" customHeight="1" x14ac:dyDescent="0.25">
      <c r="B34" s="258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60"/>
      <c r="O34" s="343"/>
      <c r="P34" s="344"/>
      <c r="Q34" s="344"/>
      <c r="R34" s="345"/>
      <c r="S34" s="374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9"/>
      <c r="AF34" s="379"/>
      <c r="AG34" s="379"/>
      <c r="AH34" s="379"/>
      <c r="AI34" s="379"/>
      <c r="AJ34" s="379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81"/>
      <c r="BF34" s="81"/>
      <c r="BG34" s="81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3"/>
      <c r="BS34" s="212"/>
      <c r="BT34" s="332"/>
      <c r="BU34" s="332"/>
      <c r="BV34" s="332"/>
      <c r="BW34" s="332"/>
      <c r="BX34" s="332"/>
      <c r="BY34" s="332"/>
      <c r="BZ34" s="332"/>
      <c r="CA34" s="333"/>
      <c r="CB34" s="333"/>
      <c r="CC34" s="333"/>
      <c r="CD34" s="333"/>
      <c r="CE34" s="333"/>
      <c r="CF34" s="333"/>
      <c r="CG34" s="329"/>
      <c r="CH34" s="329"/>
      <c r="CI34" s="329"/>
      <c r="CJ34" s="329"/>
      <c r="CK34" s="329"/>
      <c r="CL34" s="329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20"/>
      <c r="DE34" s="220"/>
      <c r="DF34" s="220"/>
      <c r="DG34" s="220"/>
      <c r="DH34" s="219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3"/>
      <c r="DU34" s="212"/>
    </row>
    <row r="35" spans="2:125" ht="10.5" customHeight="1" x14ac:dyDescent="0.25">
      <c r="B35" s="255" t="s">
        <v>60</v>
      </c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7"/>
      <c r="O35" s="261"/>
      <c r="P35" s="262"/>
      <c r="Q35" s="262"/>
      <c r="R35" s="263"/>
      <c r="S35" s="374"/>
      <c r="T35" s="375"/>
      <c r="U35" s="375"/>
      <c r="V35" s="375"/>
      <c r="W35" s="375"/>
      <c r="X35" s="375"/>
      <c r="Y35" s="375"/>
      <c r="Z35" s="375"/>
      <c r="AA35" s="375"/>
      <c r="AB35" s="375"/>
      <c r="AC35" s="375"/>
      <c r="AD35" s="375"/>
      <c r="AE35" s="379"/>
      <c r="AF35" s="379"/>
      <c r="AG35" s="379"/>
      <c r="AH35" s="379"/>
      <c r="AI35" s="379"/>
      <c r="AJ35" s="379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81"/>
      <c r="BF35" s="81"/>
      <c r="BG35" s="81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3"/>
      <c r="BS35" s="212"/>
      <c r="BT35" s="332"/>
      <c r="BU35" s="332"/>
      <c r="BV35" s="332"/>
      <c r="BW35" s="332"/>
      <c r="BX35" s="332"/>
      <c r="BY35" s="332"/>
      <c r="BZ35" s="332"/>
      <c r="CA35" s="333"/>
      <c r="CB35" s="333"/>
      <c r="CC35" s="333"/>
      <c r="CD35" s="333"/>
      <c r="CE35" s="333"/>
      <c r="CF35" s="333"/>
      <c r="CG35" s="329"/>
      <c r="CH35" s="329"/>
      <c r="CI35" s="329"/>
      <c r="CJ35" s="329"/>
      <c r="CK35" s="329"/>
      <c r="CL35" s="329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19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3"/>
      <c r="DU35" s="212"/>
    </row>
    <row r="36" spans="2:125" ht="10.5" customHeight="1" x14ac:dyDescent="0.25">
      <c r="B36" s="258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60"/>
      <c r="O36" s="264"/>
      <c r="P36" s="265"/>
      <c r="Q36" s="265"/>
      <c r="R36" s="266"/>
      <c r="S36" s="376" t="str">
        <f>IF(DATI!$P$2="A","A","")</f>
        <v/>
      </c>
      <c r="T36" s="377"/>
      <c r="U36" s="377"/>
      <c r="V36" s="377"/>
      <c r="W36" s="377"/>
      <c r="X36" s="377"/>
      <c r="Y36" s="377" t="str">
        <f>IF(DATI!P3="B","B","")</f>
        <v/>
      </c>
      <c r="Z36" s="377"/>
      <c r="AA36" s="377"/>
      <c r="AB36" s="377"/>
      <c r="AC36" s="377"/>
      <c r="AD36" s="377"/>
      <c r="AE36" s="377" t="str">
        <f>IF(DATI!$P$4="C","C","")</f>
        <v/>
      </c>
      <c r="AF36" s="377"/>
      <c r="AG36" s="377"/>
      <c r="AH36" s="377"/>
      <c r="AI36" s="377"/>
      <c r="AJ36" s="377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81"/>
      <c r="BF36" s="81"/>
      <c r="BG36" s="81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3"/>
      <c r="BS36" s="212"/>
      <c r="BT36" s="332"/>
      <c r="BU36" s="332"/>
      <c r="BV36" s="332"/>
      <c r="BW36" s="332"/>
      <c r="BX36" s="332"/>
      <c r="BY36" s="332"/>
      <c r="BZ36" s="332"/>
      <c r="CA36" s="333"/>
      <c r="CB36" s="333"/>
      <c r="CC36" s="333"/>
      <c r="CD36" s="333"/>
      <c r="CE36" s="333"/>
      <c r="CF36" s="333"/>
      <c r="CG36" s="329"/>
      <c r="CH36" s="329"/>
      <c r="CI36" s="329"/>
      <c r="CJ36" s="329"/>
      <c r="CK36" s="329"/>
      <c r="CL36" s="329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19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3"/>
      <c r="DU36" s="212"/>
    </row>
    <row r="37" spans="2:125" ht="12" customHeight="1" x14ac:dyDescent="0.25">
      <c r="B37" s="255" t="s">
        <v>62</v>
      </c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7"/>
      <c r="O37" s="354"/>
      <c r="P37" s="355"/>
      <c r="Q37" s="355"/>
      <c r="R37" s="356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220"/>
      <c r="BI37" s="220"/>
      <c r="BJ37" s="212"/>
      <c r="BK37" s="212"/>
      <c r="BL37" s="212"/>
      <c r="BM37" s="212"/>
      <c r="BN37" s="212"/>
      <c r="BO37" s="212"/>
      <c r="BP37" s="212"/>
      <c r="BQ37" s="212"/>
      <c r="BR37" s="213"/>
      <c r="BS37" s="212"/>
      <c r="BU37" s="353"/>
      <c r="BV37" s="353"/>
      <c r="BW37" s="353"/>
      <c r="BX37" s="353"/>
      <c r="BY37" s="353"/>
      <c r="BZ37" s="353"/>
      <c r="CA37" s="353"/>
      <c r="CB37" s="353"/>
      <c r="CC37" s="353"/>
      <c r="CD37" s="353"/>
      <c r="CE37" s="353"/>
      <c r="CF37" s="353"/>
      <c r="CG37" s="353"/>
      <c r="CH37" s="353"/>
      <c r="CI37" s="353"/>
      <c r="CJ37" s="353"/>
      <c r="CK37" s="353"/>
      <c r="CL37" s="353"/>
      <c r="CM37" s="353"/>
      <c r="CN37" s="353"/>
      <c r="CO37" s="353"/>
      <c r="CP37" s="353"/>
      <c r="CQ37" s="353"/>
      <c r="CR37" s="353"/>
      <c r="CS37" s="353"/>
      <c r="CT37" s="353"/>
      <c r="CU37" s="353"/>
      <c r="CV37" s="353"/>
      <c r="CW37" s="353"/>
      <c r="CX37" s="353"/>
      <c r="CY37" s="353"/>
      <c r="CZ37" s="353"/>
      <c r="DA37" s="353"/>
      <c r="DB37" s="353"/>
      <c r="DC37" s="353"/>
      <c r="DD37" s="353"/>
      <c r="DE37" s="353"/>
      <c r="DF37" s="353"/>
      <c r="DG37" s="353"/>
      <c r="DH37" s="353"/>
      <c r="DI37" s="353"/>
      <c r="DJ37" s="220"/>
      <c r="DK37" s="220"/>
      <c r="DL37" s="212"/>
      <c r="DM37" s="212"/>
      <c r="DN37" s="212"/>
      <c r="DO37" s="212"/>
      <c r="DP37" s="212"/>
      <c r="DQ37" s="212"/>
      <c r="DR37" s="212"/>
      <c r="DS37" s="212"/>
      <c r="DT37" s="213"/>
      <c r="DU37" s="212"/>
    </row>
    <row r="38" spans="2:125" ht="12" customHeight="1" x14ac:dyDescent="0.25">
      <c r="B38" s="258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60"/>
      <c r="O38" s="357"/>
      <c r="P38" s="358"/>
      <c r="Q38" s="358"/>
      <c r="R38" s="359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7"/>
      <c r="BF38" s="367"/>
      <c r="BG38" s="367"/>
      <c r="BH38" s="220"/>
      <c r="BI38" s="220"/>
      <c r="BJ38" s="212"/>
      <c r="BK38" s="212"/>
      <c r="BL38" s="212"/>
      <c r="BM38" s="212"/>
      <c r="BN38" s="212"/>
      <c r="BO38" s="212"/>
      <c r="BP38" s="212"/>
      <c r="BQ38" s="212"/>
      <c r="BR38" s="213"/>
      <c r="BS38" s="212"/>
      <c r="BU38" s="353"/>
      <c r="BV38" s="353"/>
      <c r="BW38" s="353"/>
      <c r="BX38" s="353"/>
      <c r="BY38" s="353"/>
      <c r="BZ38" s="353"/>
      <c r="CA38" s="353"/>
      <c r="CB38" s="353"/>
      <c r="CC38" s="353"/>
      <c r="CD38" s="353"/>
      <c r="CE38" s="353"/>
      <c r="CF38" s="353"/>
      <c r="CG38" s="353"/>
      <c r="CH38" s="353"/>
      <c r="CI38" s="353"/>
      <c r="CJ38" s="353"/>
      <c r="CK38" s="353"/>
      <c r="CL38" s="353"/>
      <c r="CM38" s="353"/>
      <c r="CN38" s="353"/>
      <c r="CO38" s="353"/>
      <c r="CP38" s="353"/>
      <c r="CQ38" s="353"/>
      <c r="CR38" s="353"/>
      <c r="CS38" s="353"/>
      <c r="CT38" s="353"/>
      <c r="CU38" s="353"/>
      <c r="CV38" s="353"/>
      <c r="CW38" s="353"/>
      <c r="CX38" s="353"/>
      <c r="CY38" s="353"/>
      <c r="CZ38" s="353"/>
      <c r="DA38" s="353"/>
      <c r="DB38" s="353"/>
      <c r="DC38" s="353"/>
      <c r="DD38" s="353"/>
      <c r="DE38" s="353"/>
      <c r="DF38" s="353"/>
      <c r="DG38" s="353"/>
      <c r="DH38" s="353"/>
      <c r="DI38" s="353"/>
      <c r="DJ38" s="220"/>
      <c r="DK38" s="220"/>
      <c r="DL38" s="212"/>
      <c r="DM38" s="212"/>
      <c r="DN38" s="212"/>
      <c r="DO38" s="212"/>
      <c r="DP38" s="212"/>
      <c r="DQ38" s="212"/>
      <c r="DR38" s="212"/>
      <c r="DS38" s="212"/>
      <c r="DT38" s="213"/>
      <c r="DU38" s="212"/>
    </row>
    <row r="39" spans="2:125" ht="12" customHeight="1" x14ac:dyDescent="0.25">
      <c r="B39" s="255" t="s">
        <v>49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7"/>
      <c r="O39" s="354"/>
      <c r="P39" s="355"/>
      <c r="Q39" s="355"/>
      <c r="R39" s="356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220"/>
      <c r="BI39" s="220"/>
      <c r="BJ39" s="212"/>
      <c r="BK39" s="212"/>
      <c r="BL39" s="212"/>
      <c r="BM39" s="212"/>
      <c r="BN39" s="212"/>
      <c r="BO39" s="212"/>
      <c r="BP39" s="212"/>
      <c r="BQ39" s="212"/>
      <c r="BR39" s="213"/>
      <c r="BS39" s="212"/>
      <c r="BU39" s="353"/>
      <c r="BV39" s="353"/>
      <c r="BW39" s="353"/>
      <c r="BX39" s="353"/>
      <c r="BY39" s="353"/>
      <c r="BZ39" s="353"/>
      <c r="CA39" s="353"/>
      <c r="CB39" s="353"/>
      <c r="CC39" s="353"/>
      <c r="CD39" s="353"/>
      <c r="CE39" s="353"/>
      <c r="CF39" s="353"/>
      <c r="CG39" s="353"/>
      <c r="CH39" s="353"/>
      <c r="CI39" s="353"/>
      <c r="CJ39" s="353"/>
      <c r="CK39" s="353"/>
      <c r="CL39" s="353"/>
      <c r="CM39" s="353"/>
      <c r="CN39" s="353"/>
      <c r="CO39" s="353"/>
      <c r="CP39" s="353"/>
      <c r="CQ39" s="353"/>
      <c r="CR39" s="353"/>
      <c r="CS39" s="353"/>
      <c r="CT39" s="353"/>
      <c r="CU39" s="353"/>
      <c r="CV39" s="353"/>
      <c r="CW39" s="353"/>
      <c r="CX39" s="353"/>
      <c r="CY39" s="353"/>
      <c r="CZ39" s="353"/>
      <c r="DA39" s="353"/>
      <c r="DB39" s="353"/>
      <c r="DC39" s="353"/>
      <c r="DD39" s="353"/>
      <c r="DE39" s="353"/>
      <c r="DF39" s="353"/>
      <c r="DG39" s="353"/>
      <c r="DH39" s="353"/>
      <c r="DI39" s="353"/>
      <c r="DJ39" s="220"/>
      <c r="DK39" s="220"/>
      <c r="DL39" s="212"/>
      <c r="DM39" s="212"/>
      <c r="DN39" s="212"/>
      <c r="DO39" s="212"/>
      <c r="DP39" s="212"/>
      <c r="DQ39" s="212"/>
      <c r="DR39" s="212"/>
      <c r="DS39" s="212"/>
      <c r="DT39" s="213"/>
      <c r="DU39" s="212"/>
    </row>
    <row r="40" spans="2:125" ht="12" customHeight="1" x14ac:dyDescent="0.25">
      <c r="B40" s="258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60"/>
      <c r="O40" s="357"/>
      <c r="P40" s="358"/>
      <c r="Q40" s="358"/>
      <c r="R40" s="359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  <c r="AS40" s="367"/>
      <c r="AT40" s="367"/>
      <c r="AU40" s="367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220"/>
      <c r="BI40" s="220"/>
      <c r="BJ40" s="212"/>
      <c r="BK40" s="212"/>
      <c r="BL40" s="212"/>
      <c r="BM40" s="212"/>
      <c r="BN40" s="212"/>
      <c r="BO40" s="212"/>
      <c r="BP40" s="212"/>
      <c r="BQ40" s="212"/>
      <c r="BR40" s="213"/>
      <c r="BS40" s="212"/>
      <c r="BU40" s="353"/>
      <c r="BV40" s="353"/>
      <c r="BW40" s="353"/>
      <c r="BX40" s="353"/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353"/>
      <c r="CM40" s="353"/>
      <c r="CN40" s="353"/>
      <c r="CO40" s="353"/>
      <c r="CP40" s="353"/>
      <c r="CQ40" s="353"/>
      <c r="CR40" s="353"/>
      <c r="CS40" s="353"/>
      <c r="CT40" s="353"/>
      <c r="CU40" s="353"/>
      <c r="CV40" s="353"/>
      <c r="CW40" s="353"/>
      <c r="CX40" s="353"/>
      <c r="CY40" s="353"/>
      <c r="CZ40" s="353"/>
      <c r="DA40" s="353"/>
      <c r="DB40" s="353"/>
      <c r="DC40" s="353"/>
      <c r="DD40" s="353"/>
      <c r="DE40" s="353"/>
      <c r="DF40" s="353"/>
      <c r="DG40" s="353"/>
      <c r="DH40" s="353"/>
      <c r="DI40" s="353"/>
      <c r="DJ40" s="220"/>
      <c r="DK40" s="220"/>
      <c r="DL40" s="212"/>
      <c r="DM40" s="212"/>
      <c r="DN40" s="212"/>
      <c r="DO40" s="212"/>
      <c r="DP40" s="212"/>
      <c r="DQ40" s="212"/>
      <c r="DR40" s="212"/>
      <c r="DS40" s="212"/>
      <c r="DT40" s="213"/>
      <c r="DU40" s="212"/>
    </row>
    <row r="41" spans="2:125" ht="12" customHeight="1" x14ac:dyDescent="0.25">
      <c r="B41" s="255" t="s">
        <v>58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7"/>
      <c r="O41" s="354"/>
      <c r="P41" s="355"/>
      <c r="Q41" s="355"/>
      <c r="R41" s="356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367"/>
      <c r="AS41" s="367"/>
      <c r="AT41" s="367"/>
      <c r="AU41" s="367"/>
      <c r="AV41" s="367"/>
      <c r="AW41" s="367"/>
      <c r="AX41" s="367"/>
      <c r="AY41" s="367"/>
      <c r="AZ41" s="367"/>
      <c r="BA41" s="367"/>
      <c r="BB41" s="367"/>
      <c r="BC41" s="367"/>
      <c r="BD41" s="367"/>
      <c r="BE41" s="367"/>
      <c r="BF41" s="367"/>
      <c r="BG41" s="367"/>
      <c r="BH41" s="220"/>
      <c r="BI41" s="220"/>
      <c r="BJ41" s="212"/>
      <c r="BK41" s="212"/>
      <c r="BL41" s="212"/>
      <c r="BM41" s="212"/>
      <c r="BN41" s="212"/>
      <c r="BO41" s="212"/>
      <c r="BP41" s="212"/>
      <c r="BQ41" s="212"/>
      <c r="BR41" s="213"/>
      <c r="BS41" s="212"/>
      <c r="BU41" s="353"/>
      <c r="BV41" s="353"/>
      <c r="BW41" s="353"/>
      <c r="BX41" s="353"/>
      <c r="BY41" s="353"/>
      <c r="BZ41" s="353"/>
      <c r="CA41" s="353"/>
      <c r="CB41" s="353"/>
      <c r="CC41" s="353"/>
      <c r="CD41" s="353"/>
      <c r="CE41" s="353"/>
      <c r="CF41" s="353"/>
      <c r="CG41" s="353"/>
      <c r="CH41" s="353"/>
      <c r="CI41" s="353"/>
      <c r="CJ41" s="353"/>
      <c r="CK41" s="353"/>
      <c r="CL41" s="353"/>
      <c r="CM41" s="353"/>
      <c r="CN41" s="353"/>
      <c r="CO41" s="353"/>
      <c r="CP41" s="353"/>
      <c r="CQ41" s="353"/>
      <c r="CR41" s="353"/>
      <c r="CS41" s="353"/>
      <c r="CT41" s="353"/>
      <c r="CU41" s="353"/>
      <c r="CV41" s="353"/>
      <c r="CW41" s="353"/>
      <c r="CX41" s="353"/>
      <c r="CY41" s="353"/>
      <c r="CZ41" s="353"/>
      <c r="DA41" s="353"/>
      <c r="DB41" s="353"/>
      <c r="DC41" s="353"/>
      <c r="DD41" s="353"/>
      <c r="DE41" s="353"/>
      <c r="DF41" s="353"/>
      <c r="DG41" s="353"/>
      <c r="DH41" s="353"/>
      <c r="DI41" s="353"/>
      <c r="DJ41" s="220"/>
      <c r="DK41" s="220"/>
      <c r="DL41" s="212"/>
      <c r="DM41" s="212"/>
      <c r="DN41" s="212"/>
      <c r="DO41" s="212"/>
      <c r="DP41" s="212"/>
      <c r="DQ41" s="212"/>
      <c r="DR41" s="212"/>
      <c r="DS41" s="212"/>
      <c r="DT41" s="213"/>
      <c r="DU41" s="212"/>
    </row>
    <row r="42" spans="2:125" ht="12" customHeight="1" x14ac:dyDescent="0.25">
      <c r="B42" s="258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60"/>
      <c r="O42" s="357"/>
      <c r="P42" s="358"/>
      <c r="Q42" s="358"/>
      <c r="R42" s="359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367"/>
      <c r="AL42" s="367"/>
      <c r="AM42" s="367"/>
      <c r="AN42" s="367"/>
      <c r="AO42" s="367"/>
      <c r="AP42" s="367"/>
      <c r="AQ42" s="367"/>
      <c r="AR42" s="367"/>
      <c r="AS42" s="367"/>
      <c r="AT42" s="367"/>
      <c r="AU42" s="367"/>
      <c r="AV42" s="367"/>
      <c r="AW42" s="367"/>
      <c r="AX42" s="367"/>
      <c r="AY42" s="367"/>
      <c r="AZ42" s="367"/>
      <c r="BA42" s="367"/>
      <c r="BB42" s="367"/>
      <c r="BC42" s="367"/>
      <c r="BD42" s="367"/>
      <c r="BE42" s="367"/>
      <c r="BF42" s="367"/>
      <c r="BG42" s="367"/>
      <c r="BH42" s="220"/>
      <c r="BI42" s="220"/>
      <c r="BJ42" s="212"/>
      <c r="BK42" s="212"/>
      <c r="BL42" s="212"/>
      <c r="BM42" s="212"/>
      <c r="BN42" s="212"/>
      <c r="BO42" s="212"/>
      <c r="BP42" s="212"/>
      <c r="BQ42" s="212"/>
      <c r="BR42" s="213"/>
      <c r="BS42" s="212"/>
      <c r="BU42" s="353"/>
      <c r="BV42" s="353"/>
      <c r="BW42" s="353"/>
      <c r="BX42" s="353"/>
      <c r="BY42" s="353"/>
      <c r="BZ42" s="353"/>
      <c r="CA42" s="353"/>
      <c r="CB42" s="353"/>
      <c r="CC42" s="353"/>
      <c r="CD42" s="353"/>
      <c r="CE42" s="353"/>
      <c r="CF42" s="353"/>
      <c r="CG42" s="353"/>
      <c r="CH42" s="353"/>
      <c r="CI42" s="353"/>
      <c r="CJ42" s="353"/>
      <c r="CK42" s="353"/>
      <c r="CL42" s="353"/>
      <c r="CM42" s="353"/>
      <c r="CN42" s="353"/>
      <c r="CO42" s="353"/>
      <c r="CP42" s="353"/>
      <c r="CQ42" s="353"/>
      <c r="CR42" s="353"/>
      <c r="CS42" s="353"/>
      <c r="CT42" s="353"/>
      <c r="CU42" s="353"/>
      <c r="CV42" s="353"/>
      <c r="CW42" s="353"/>
      <c r="CX42" s="353"/>
      <c r="CY42" s="353"/>
      <c r="CZ42" s="353"/>
      <c r="DA42" s="353"/>
      <c r="DB42" s="353"/>
      <c r="DC42" s="353"/>
      <c r="DD42" s="353"/>
      <c r="DE42" s="353"/>
      <c r="DF42" s="353"/>
      <c r="DG42" s="353"/>
      <c r="DH42" s="353"/>
      <c r="DI42" s="353"/>
      <c r="DJ42" s="220"/>
      <c r="DK42" s="220"/>
      <c r="DL42" s="212"/>
      <c r="DM42" s="212"/>
      <c r="DN42" s="212"/>
      <c r="DO42" s="212"/>
      <c r="DP42" s="212"/>
      <c r="DQ42" s="212"/>
      <c r="DR42" s="212"/>
      <c r="DS42" s="212"/>
      <c r="DT42" s="213"/>
      <c r="DU42" s="212"/>
    </row>
    <row r="43" spans="2:125" ht="12" customHeight="1" x14ac:dyDescent="0.25">
      <c r="B43" s="255" t="s">
        <v>51</v>
      </c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7"/>
      <c r="O43" s="354"/>
      <c r="P43" s="355"/>
      <c r="Q43" s="355"/>
      <c r="R43" s="356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367"/>
      <c r="AL43" s="367"/>
      <c r="AM43" s="367"/>
      <c r="AN43" s="367"/>
      <c r="AO43" s="367"/>
      <c r="AP43" s="367"/>
      <c r="AQ43" s="367"/>
      <c r="AR43" s="367"/>
      <c r="AS43" s="367"/>
      <c r="AT43" s="367"/>
      <c r="AU43" s="367"/>
      <c r="AV43" s="367"/>
      <c r="AW43" s="367"/>
      <c r="AX43" s="367"/>
      <c r="AY43" s="367"/>
      <c r="AZ43" s="367"/>
      <c r="BA43" s="367"/>
      <c r="BB43" s="367"/>
      <c r="BC43" s="367"/>
      <c r="BD43" s="367"/>
      <c r="BE43" s="367"/>
      <c r="BF43" s="367"/>
      <c r="BG43" s="367"/>
      <c r="BH43" s="220"/>
      <c r="BI43" s="220"/>
      <c r="BJ43" s="212"/>
      <c r="BK43" s="212"/>
      <c r="BL43" s="212"/>
      <c r="BM43" s="212"/>
      <c r="BN43" s="212"/>
      <c r="BO43" s="212"/>
      <c r="BP43" s="212"/>
      <c r="BQ43" s="212"/>
      <c r="BR43" s="213"/>
      <c r="BS43" s="212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3"/>
      <c r="CM43" s="353"/>
      <c r="CN43" s="353"/>
      <c r="CO43" s="353"/>
      <c r="CP43" s="353"/>
      <c r="CQ43" s="353"/>
      <c r="CR43" s="353"/>
      <c r="CS43" s="353"/>
      <c r="CT43" s="353"/>
      <c r="CU43" s="353"/>
      <c r="CV43" s="353"/>
      <c r="CW43" s="353"/>
      <c r="CX43" s="353"/>
      <c r="CY43" s="353"/>
      <c r="CZ43" s="353"/>
      <c r="DA43" s="353"/>
      <c r="DB43" s="353"/>
      <c r="DC43" s="353"/>
      <c r="DD43" s="353"/>
      <c r="DE43" s="353"/>
      <c r="DF43" s="353"/>
      <c r="DG43" s="353"/>
      <c r="DH43" s="353"/>
      <c r="DI43" s="353"/>
      <c r="DJ43" s="220"/>
      <c r="DK43" s="220"/>
      <c r="DL43" s="212"/>
      <c r="DM43" s="212"/>
      <c r="DN43" s="212"/>
      <c r="DO43" s="212"/>
      <c r="DP43" s="212"/>
      <c r="DQ43" s="212"/>
      <c r="DR43" s="212"/>
      <c r="DS43" s="212"/>
      <c r="DT43" s="213"/>
      <c r="DU43" s="212"/>
    </row>
    <row r="44" spans="2:125" ht="12" customHeight="1" x14ac:dyDescent="0.25">
      <c r="B44" s="258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60"/>
      <c r="O44" s="357"/>
      <c r="P44" s="358"/>
      <c r="Q44" s="358"/>
      <c r="R44" s="359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H44" s="367"/>
      <c r="AI44" s="367"/>
      <c r="AJ44" s="367"/>
      <c r="AK44" s="367"/>
      <c r="AL44" s="367"/>
      <c r="AM44" s="367"/>
      <c r="AN44" s="367"/>
      <c r="AO44" s="367"/>
      <c r="AP44" s="367"/>
      <c r="AQ44" s="367"/>
      <c r="AR44" s="367"/>
      <c r="AS44" s="367"/>
      <c r="AT44" s="367"/>
      <c r="AU44" s="367"/>
      <c r="AV44" s="367"/>
      <c r="AW44" s="367"/>
      <c r="AX44" s="367"/>
      <c r="AY44" s="367"/>
      <c r="AZ44" s="367"/>
      <c r="BA44" s="367"/>
      <c r="BB44" s="367"/>
      <c r="BC44" s="367"/>
      <c r="BD44" s="367"/>
      <c r="BE44" s="367"/>
      <c r="BF44" s="367"/>
      <c r="BG44" s="367"/>
      <c r="BH44" s="220"/>
      <c r="BI44" s="220"/>
      <c r="BJ44" s="212"/>
      <c r="BK44" s="212"/>
      <c r="BL44" s="212"/>
      <c r="BM44" s="212"/>
      <c r="BN44" s="212"/>
      <c r="BO44" s="212"/>
      <c r="BP44" s="212"/>
      <c r="BQ44" s="212"/>
      <c r="BR44" s="213"/>
      <c r="BS44" s="212"/>
      <c r="BU44" s="353"/>
      <c r="BV44" s="353"/>
      <c r="BW44" s="353"/>
      <c r="BX44" s="353"/>
      <c r="BY44" s="353"/>
      <c r="BZ44" s="353"/>
      <c r="CA44" s="353"/>
      <c r="CB44" s="353"/>
      <c r="CC44" s="353"/>
      <c r="CD44" s="353"/>
      <c r="CE44" s="353"/>
      <c r="CF44" s="353"/>
      <c r="CG44" s="353"/>
      <c r="CH44" s="353"/>
      <c r="CI44" s="353"/>
      <c r="CJ44" s="353"/>
      <c r="CK44" s="353"/>
      <c r="CL44" s="353"/>
      <c r="CM44" s="353"/>
      <c r="CN44" s="353"/>
      <c r="CO44" s="353"/>
      <c r="CP44" s="353"/>
      <c r="CQ44" s="353"/>
      <c r="CR44" s="353"/>
      <c r="CS44" s="353"/>
      <c r="CT44" s="353"/>
      <c r="CU44" s="353"/>
      <c r="CV44" s="353"/>
      <c r="CW44" s="353"/>
      <c r="CX44" s="353"/>
      <c r="CY44" s="353"/>
      <c r="CZ44" s="353"/>
      <c r="DA44" s="353"/>
      <c r="DB44" s="353"/>
      <c r="DC44" s="353"/>
      <c r="DD44" s="353"/>
      <c r="DE44" s="353"/>
      <c r="DF44" s="353"/>
      <c r="DG44" s="353"/>
      <c r="DH44" s="353"/>
      <c r="DI44" s="353"/>
      <c r="DJ44" s="220"/>
      <c r="DK44" s="220"/>
      <c r="DL44" s="212"/>
      <c r="DM44" s="212"/>
      <c r="DN44" s="212"/>
      <c r="DO44" s="212"/>
      <c r="DP44" s="212"/>
      <c r="DQ44" s="212"/>
      <c r="DR44" s="212"/>
      <c r="DS44" s="212"/>
      <c r="DT44" s="213"/>
      <c r="DU44" s="212"/>
    </row>
    <row r="45" spans="2:125" ht="10.5" customHeight="1" x14ac:dyDescent="0.35">
      <c r="B45" s="360" t="str">
        <f>IF($O$43="NO","",IF(AND($O$15="ALLUMINIO",$O$43="SI"),"ANTICIPARE PROFILI PER LACCATURA :",IF(AND($O$13&lt;&gt;"NO VETRO",$O$43="NO"),"ANTICIPARE PROFILI PER LACCATURA :","")))</f>
        <v/>
      </c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55"/>
      <c r="P45" s="355"/>
      <c r="Q45" s="355"/>
      <c r="R45" s="355"/>
      <c r="S45" s="367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  <c r="AJ45" s="367"/>
      <c r="AK45" s="367"/>
      <c r="AL45" s="367"/>
      <c r="AM45" s="367"/>
      <c r="AN45" s="367"/>
      <c r="AO45" s="367"/>
      <c r="AP45" s="367"/>
      <c r="AQ45" s="367"/>
      <c r="AR45" s="367"/>
      <c r="AS45" s="367"/>
      <c r="AT45" s="367"/>
      <c r="AU45" s="367"/>
      <c r="AV45" s="367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220"/>
      <c r="BI45" s="220"/>
      <c r="BJ45" s="221"/>
      <c r="BK45" s="221"/>
      <c r="BL45" s="221"/>
      <c r="BM45" s="221"/>
      <c r="BN45" s="221"/>
      <c r="BO45" s="221"/>
      <c r="BP45" s="221"/>
      <c r="BQ45" s="221"/>
      <c r="BR45" s="222"/>
      <c r="BS45" s="221"/>
      <c r="BU45" s="353"/>
      <c r="BV45" s="353"/>
      <c r="BW45" s="353"/>
      <c r="BX45" s="353"/>
      <c r="BY45" s="353"/>
      <c r="BZ45" s="353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3"/>
      <c r="CL45" s="353"/>
      <c r="CM45" s="353"/>
      <c r="CN45" s="353"/>
      <c r="CO45" s="353"/>
      <c r="CP45" s="353"/>
      <c r="CQ45" s="353"/>
      <c r="CR45" s="353"/>
      <c r="CS45" s="353"/>
      <c r="CT45" s="353"/>
      <c r="CU45" s="353"/>
      <c r="CV45" s="353"/>
      <c r="CW45" s="353"/>
      <c r="CX45" s="353"/>
      <c r="CY45" s="353"/>
      <c r="CZ45" s="353"/>
      <c r="DA45" s="353"/>
      <c r="DB45" s="353"/>
      <c r="DC45" s="353"/>
      <c r="DD45" s="353"/>
      <c r="DE45" s="353"/>
      <c r="DF45" s="353"/>
      <c r="DG45" s="353"/>
      <c r="DH45" s="353"/>
      <c r="DI45" s="353"/>
      <c r="DJ45" s="220"/>
      <c r="DK45" s="220"/>
      <c r="DL45" s="221"/>
      <c r="DM45" s="221"/>
      <c r="DN45" s="221"/>
      <c r="DO45" s="221"/>
      <c r="DP45" s="221"/>
      <c r="DQ45" s="221"/>
      <c r="DR45" s="221"/>
      <c r="DS45" s="221"/>
      <c r="DT45" s="222"/>
      <c r="DU45" s="221"/>
    </row>
    <row r="46" spans="2:125" ht="10.5" customHeight="1" x14ac:dyDescent="0.35"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2"/>
      <c r="P46" s="362"/>
      <c r="Q46" s="362"/>
      <c r="R46" s="362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220"/>
      <c r="BI46" s="220"/>
      <c r="BJ46" s="221"/>
      <c r="BK46" s="221"/>
      <c r="BL46" s="221"/>
      <c r="BM46" s="221"/>
      <c r="BN46" s="221"/>
      <c r="BO46" s="221"/>
      <c r="BP46" s="221"/>
      <c r="BQ46" s="221"/>
      <c r="BR46" s="222"/>
      <c r="BS46" s="221"/>
      <c r="BU46" s="353"/>
      <c r="BV46" s="353"/>
      <c r="BW46" s="353"/>
      <c r="BX46" s="353"/>
      <c r="BY46" s="353"/>
      <c r="BZ46" s="353"/>
      <c r="CA46" s="353"/>
      <c r="CB46" s="353"/>
      <c r="CC46" s="353"/>
      <c r="CD46" s="353"/>
      <c r="CE46" s="353"/>
      <c r="CF46" s="353"/>
      <c r="CG46" s="353"/>
      <c r="CH46" s="353"/>
      <c r="CI46" s="353"/>
      <c r="CJ46" s="353"/>
      <c r="CK46" s="353"/>
      <c r="CL46" s="353"/>
      <c r="CM46" s="353"/>
      <c r="CN46" s="353"/>
      <c r="CO46" s="353"/>
      <c r="CP46" s="353"/>
      <c r="CQ46" s="353"/>
      <c r="CR46" s="353"/>
      <c r="CS46" s="353"/>
      <c r="CT46" s="353"/>
      <c r="CU46" s="353"/>
      <c r="CV46" s="353"/>
      <c r="CW46" s="353"/>
      <c r="CX46" s="353"/>
      <c r="CY46" s="353"/>
      <c r="CZ46" s="353"/>
      <c r="DA46" s="353"/>
      <c r="DB46" s="353"/>
      <c r="DC46" s="353"/>
      <c r="DD46" s="353"/>
      <c r="DE46" s="353"/>
      <c r="DF46" s="353"/>
      <c r="DG46" s="353"/>
      <c r="DH46" s="353"/>
      <c r="DI46" s="353"/>
      <c r="DJ46" s="220"/>
      <c r="DK46" s="220"/>
      <c r="DL46" s="221"/>
      <c r="DM46" s="221"/>
      <c r="DN46" s="221"/>
      <c r="DO46" s="221"/>
      <c r="DP46" s="221"/>
      <c r="DQ46" s="221"/>
      <c r="DR46" s="221"/>
      <c r="DS46" s="221"/>
      <c r="DT46" s="222"/>
      <c r="DU46" s="221"/>
    </row>
    <row r="47" spans="2:125" ht="10.5" customHeight="1" x14ac:dyDescent="0.35"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2"/>
      <c r="P47" s="362"/>
      <c r="Q47" s="362"/>
      <c r="R47" s="362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220"/>
      <c r="BI47" s="220"/>
      <c r="BJ47" s="221"/>
      <c r="BK47" s="221"/>
      <c r="BL47" s="221"/>
      <c r="BM47" s="221"/>
      <c r="BN47" s="221"/>
      <c r="BO47" s="221"/>
      <c r="BP47" s="221"/>
      <c r="BQ47" s="221"/>
      <c r="BR47" s="222"/>
      <c r="BS47" s="221"/>
      <c r="BU47" s="353"/>
      <c r="BV47" s="353"/>
      <c r="BW47" s="353"/>
      <c r="BX47" s="353"/>
      <c r="BY47" s="353"/>
      <c r="BZ47" s="353"/>
      <c r="CA47" s="353"/>
      <c r="CB47" s="353"/>
      <c r="CC47" s="353"/>
      <c r="CD47" s="353"/>
      <c r="CE47" s="353"/>
      <c r="CF47" s="353"/>
      <c r="CG47" s="353"/>
      <c r="CH47" s="353"/>
      <c r="CI47" s="353"/>
      <c r="CJ47" s="353"/>
      <c r="CK47" s="353"/>
      <c r="CL47" s="353"/>
      <c r="CM47" s="353"/>
      <c r="CN47" s="353"/>
      <c r="CO47" s="353"/>
      <c r="CP47" s="353"/>
      <c r="CQ47" s="353"/>
      <c r="CR47" s="353"/>
      <c r="CS47" s="353"/>
      <c r="CT47" s="353"/>
      <c r="CU47" s="353"/>
      <c r="CV47" s="353"/>
      <c r="CW47" s="353"/>
      <c r="CX47" s="353"/>
      <c r="CY47" s="353"/>
      <c r="CZ47" s="353"/>
      <c r="DA47" s="353"/>
      <c r="DB47" s="353"/>
      <c r="DC47" s="353"/>
      <c r="DD47" s="353"/>
      <c r="DE47" s="353"/>
      <c r="DF47" s="353"/>
      <c r="DG47" s="353"/>
      <c r="DH47" s="353"/>
      <c r="DI47" s="353"/>
      <c r="DJ47" s="220"/>
      <c r="DK47" s="220"/>
      <c r="DL47" s="221"/>
      <c r="DM47" s="221"/>
      <c r="DN47" s="221"/>
      <c r="DO47" s="221"/>
      <c r="DP47" s="221"/>
      <c r="DQ47" s="221"/>
      <c r="DR47" s="221"/>
      <c r="DS47" s="221"/>
      <c r="DT47" s="222"/>
      <c r="DU47" s="221"/>
    </row>
    <row r="48" spans="2:125" ht="12.75" customHeight="1" x14ac:dyDescent="0.35">
      <c r="B48" s="363" t="s">
        <v>65</v>
      </c>
      <c r="C48" s="363"/>
      <c r="D48" s="363"/>
      <c r="E48" s="363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</row>
    <row r="49" spans="2:115" ht="12.75" customHeight="1" x14ac:dyDescent="0.35">
      <c r="B49" s="364"/>
      <c r="C49" s="364"/>
      <c r="D49" s="364"/>
      <c r="E49" s="364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366"/>
      <c r="AP49" s="366"/>
      <c r="AQ49" s="366"/>
      <c r="AR49" s="366"/>
      <c r="AS49" s="366"/>
      <c r="AT49" s="366"/>
      <c r="AU49" s="366"/>
      <c r="AV49" s="366"/>
      <c r="AW49" s="366"/>
      <c r="AX49" s="366"/>
      <c r="AY49" s="366"/>
      <c r="AZ49" s="366"/>
      <c r="BA49" s="366"/>
      <c r="BB49" s="366"/>
      <c r="BC49" s="366"/>
      <c r="BD49" s="366"/>
      <c r="BE49" s="366"/>
      <c r="BF49" s="366"/>
      <c r="BG49" s="366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1"/>
      <c r="CG49" s="221"/>
      <c r="CH49" s="221"/>
      <c r="CI49" s="221"/>
      <c r="CJ49" s="221"/>
      <c r="CK49" s="221"/>
      <c r="CL49" s="221"/>
      <c r="CM49" s="221"/>
      <c r="CN49" s="221"/>
      <c r="CO49" s="221"/>
      <c r="CP49" s="221"/>
      <c r="CQ49" s="221"/>
      <c r="CR49" s="221"/>
      <c r="CS49" s="221"/>
      <c r="CT49" s="221"/>
      <c r="CU49" s="221"/>
      <c r="CV49" s="221"/>
      <c r="CW49" s="221"/>
      <c r="CX49" s="221"/>
      <c r="CY49" s="221"/>
      <c r="CZ49" s="221"/>
      <c r="DA49" s="221"/>
      <c r="DB49" s="221"/>
      <c r="DC49" s="221"/>
      <c r="DD49" s="221"/>
      <c r="DE49" s="221"/>
      <c r="DF49" s="221"/>
      <c r="DG49" s="221"/>
      <c r="DH49" s="221"/>
      <c r="DI49" s="221"/>
      <c r="DJ49" s="221"/>
      <c r="DK49" s="221"/>
    </row>
  </sheetData>
  <sheetProtection algorithmName="SHA-512" hashValue="iORu3ePMdK9m/I0xYtYyihrZjqoZB18DsNYWB+AH2ZWh8DHgII7DKN6oY38S0iaBFuvAZzvVgNzI72qIJbEGUg==" saltValue="dKaIyi/W4bsUyIFMsC3OTA==" spinCount="100000" sheet="1" objects="1" scenarios="1" selectLockedCells="1"/>
  <mergeCells count="93">
    <mergeCell ref="B1:N3"/>
    <mergeCell ref="O3:BG3"/>
    <mergeCell ref="B4:N4"/>
    <mergeCell ref="AK4:BD36"/>
    <mergeCell ref="O4:AJ4"/>
    <mergeCell ref="S23:X35"/>
    <mergeCell ref="S36:X36"/>
    <mergeCell ref="Y23:AD35"/>
    <mergeCell ref="AE23:AJ35"/>
    <mergeCell ref="AE36:AJ36"/>
    <mergeCell ref="Y36:AD36"/>
    <mergeCell ref="O31:R32"/>
    <mergeCell ref="B33:N34"/>
    <mergeCell ref="O33:R34"/>
    <mergeCell ref="B35:N36"/>
    <mergeCell ref="O35:R36"/>
    <mergeCell ref="B48:E49"/>
    <mergeCell ref="F48:BG49"/>
    <mergeCell ref="B37:N38"/>
    <mergeCell ref="O37:R38"/>
    <mergeCell ref="S37:BG47"/>
    <mergeCell ref="BU37:DI47"/>
    <mergeCell ref="B39:N40"/>
    <mergeCell ref="O39:R40"/>
    <mergeCell ref="B41:N42"/>
    <mergeCell ref="O41:R42"/>
    <mergeCell ref="B43:N44"/>
    <mergeCell ref="O43:R44"/>
    <mergeCell ref="B45:N47"/>
    <mergeCell ref="O45:R47"/>
    <mergeCell ref="DG21:DI22"/>
    <mergeCell ref="B23:N24"/>
    <mergeCell ref="O23:R24"/>
    <mergeCell ref="BT23:BZ36"/>
    <mergeCell ref="CA23:CF36"/>
    <mergeCell ref="CG23:CL36"/>
    <mergeCell ref="B25:N26"/>
    <mergeCell ref="O25:R26"/>
    <mergeCell ref="B27:N28"/>
    <mergeCell ref="O27:R28"/>
    <mergeCell ref="B29:N30"/>
    <mergeCell ref="O29:R30"/>
    <mergeCell ref="B31:N32"/>
    <mergeCell ref="AA21:AF22"/>
    <mergeCell ref="AG21:AJ22"/>
    <mergeCell ref="BE21:BG22"/>
    <mergeCell ref="CC21:CH22"/>
    <mergeCell ref="CI21:CL22"/>
    <mergeCell ref="BU17:BX18"/>
    <mergeCell ref="BY17:BZ18"/>
    <mergeCell ref="CC17:CD17"/>
    <mergeCell ref="CE17:CL17"/>
    <mergeCell ref="BU19:BZ20"/>
    <mergeCell ref="CA19:CB20"/>
    <mergeCell ref="CC19:CH20"/>
    <mergeCell ref="CI19:CL20"/>
    <mergeCell ref="B15:N16"/>
    <mergeCell ref="O15:X16"/>
    <mergeCell ref="AA15:AJ16"/>
    <mergeCell ref="CC15:CL16"/>
    <mergeCell ref="O19:R20"/>
    <mergeCell ref="S19:X20"/>
    <mergeCell ref="Y19:Z20"/>
    <mergeCell ref="AA19:AF20"/>
    <mergeCell ref="AG19:AJ20"/>
    <mergeCell ref="B19:N20"/>
    <mergeCell ref="O7:AJ8"/>
    <mergeCell ref="B13:N14"/>
    <mergeCell ref="O13:AJ14"/>
    <mergeCell ref="CC7:CL8"/>
    <mergeCell ref="B9:N10"/>
    <mergeCell ref="O9:AJ10"/>
    <mergeCell ref="CC9:CL10"/>
    <mergeCell ref="B11:N12"/>
    <mergeCell ref="O11:AJ12"/>
    <mergeCell ref="CC11:CL12"/>
    <mergeCell ref="CC13:CL14"/>
    <mergeCell ref="BE1:BG2"/>
    <mergeCell ref="CT1:DF2"/>
    <mergeCell ref="DG1:DI2"/>
    <mergeCell ref="AC17:AJ17"/>
    <mergeCell ref="B21:N22"/>
    <mergeCell ref="O21:R22"/>
    <mergeCell ref="O1:AQ2"/>
    <mergeCell ref="AR1:BD2"/>
    <mergeCell ref="B17:N18"/>
    <mergeCell ref="O17:R18"/>
    <mergeCell ref="S17:V18"/>
    <mergeCell ref="W17:X18"/>
    <mergeCell ref="AA17:AB17"/>
    <mergeCell ref="B5:N6"/>
    <mergeCell ref="O5:AJ6"/>
    <mergeCell ref="B7:N8"/>
  </mergeCells>
  <conditionalFormatting sqref="O5">
    <cfRule type="expression" dxfId="24" priority="10">
      <formula>$O$5=""</formula>
    </cfRule>
  </conditionalFormatting>
  <conditionalFormatting sqref="O17:R18">
    <cfRule type="expression" dxfId="23" priority="28">
      <formula>$O$3="SCRIVI LA MISURA DEL BINARIO"</formula>
    </cfRule>
  </conditionalFormatting>
  <conditionalFormatting sqref="O19:R20">
    <cfRule type="expression" dxfId="22" priority="27">
      <formula>$O$3="SCRIVI IL N° DI COMPOSIZIONI UGUALI DA PRODURRE"</formula>
    </cfRule>
  </conditionalFormatting>
  <conditionalFormatting sqref="O21:R22">
    <cfRule type="expression" dxfId="21" priority="26">
      <formula>$O$3="SCRIVI L'ALTEZZA DA SOPRA CAPPELLO A SOTTO IL BASAMENTO (vedi disegno)"</formula>
    </cfRule>
  </conditionalFormatting>
  <conditionalFormatting sqref="O23:R24">
    <cfRule type="expression" dxfId="20" priority="25">
      <formula>$O$3="scrivi la larghezza esterna del mobile (spalle comprese)"</formula>
    </cfRule>
  </conditionalFormatting>
  <conditionalFormatting sqref="O25:R26">
    <cfRule type="expression" dxfId="19" priority="24">
      <formula>$O$3="CLICCA E SCEGLI QUANTE ANTE SERVONO PER OGNI COMPOSIZIONE"</formula>
    </cfRule>
  </conditionalFormatting>
  <conditionalFormatting sqref="O27:R28">
    <cfRule type="expression" dxfId="18" priority="23">
      <formula>$O$3="CLICCA E SCEGLI DA CHE PARTE DEVE APRIRSI L'ANTA ESTERNA"</formula>
    </cfRule>
  </conditionalFormatting>
  <conditionalFormatting sqref="O29:R30">
    <cfRule type="expression" dxfId="17" priority="22">
      <formula>$O$3="CLICCA E SCEGLI IL N° DI MANIGLIE PER COMPOSIZIONE"</formula>
    </cfRule>
  </conditionalFormatting>
  <conditionalFormatting sqref="O31:R32">
    <cfRule type="expression" dxfId="16" priority="21">
      <formula>$O$3="CLICCA E SCEGLI IL N° DI CONTROMANIGLIE PER COMPOSIZIONE"</formula>
    </cfRule>
  </conditionalFormatting>
  <conditionalFormatting sqref="O33:R34">
    <cfRule type="expression" dxfId="15" priority="20">
      <formula>$O$3="CLICCA E SCEGLI IL N° DI MANIGLIE CON CHIUSURA PER COMPOSIZIONE"</formula>
    </cfRule>
  </conditionalFormatting>
  <conditionalFormatting sqref="O35:R36">
    <cfRule type="expression" dxfId="14" priority="19">
      <formula>$O$3="CLICCA E SCEGLI SE IL TRAVERSINO E' A VISTA O NASCOSTO"</formula>
    </cfRule>
  </conditionalFormatting>
  <conditionalFormatting sqref="O37:R38">
    <cfRule type="expression" dxfId="13" priority="18">
      <formula>$O$3="SCRIVI IL N° DI TRAVERSINI DESIDERATI PER CIASCUNA ANTA"</formula>
    </cfRule>
  </conditionalFormatting>
  <conditionalFormatting sqref="O39:R40">
    <cfRule type="expression" dxfId="12" priority="17">
      <formula>$O$3="CLICCA E SCEGLI SE SONO AMMORTIZZATE OPPURE NO"</formula>
    </cfRule>
  </conditionalFormatting>
  <conditionalFormatting sqref="O41:R42">
    <cfRule type="expression" dxfId="11" priority="16">
      <formula>$O$3="CLICCA E SCEGLI SE SERVE IL CARTER DI COPERTURA OPPURE NO"</formula>
    </cfRule>
  </conditionalFormatting>
  <conditionalFormatting sqref="O43:R44">
    <cfRule type="expression" dxfId="10" priority="15">
      <formula>$O$3="CLICCA E SCEGLI SE SONO MONTATE O SMONTATE"</formula>
    </cfRule>
  </conditionalFormatting>
  <conditionalFormatting sqref="O45:R47">
    <cfRule type="expression" dxfId="9" priority="14">
      <formula>$O$3="CLICCA E SCEGLI SE DOBBIAMO ANTICIPARE I PROFILI OPPURE NO"</formula>
    </cfRule>
  </conditionalFormatting>
  <conditionalFormatting sqref="O15:X16">
    <cfRule type="expression" dxfId="8" priority="4">
      <formula>$O$3="CLICCA E SCEGLI LA FINITURA"</formula>
    </cfRule>
  </conditionalFormatting>
  <conditionalFormatting sqref="O5:AJ6">
    <cfRule type="expression" dxfId="7" priority="1">
      <formula>$O$5&lt;&gt;""</formula>
    </cfRule>
  </conditionalFormatting>
  <conditionalFormatting sqref="O7:AJ8">
    <cfRule type="expression" dxfId="6" priority="8">
      <formula>$O$3="SCRIVERE LA RAGIONE SOCIALE"</formula>
    </cfRule>
  </conditionalFormatting>
  <conditionalFormatting sqref="O9:AJ10">
    <cfRule type="expression" dxfId="5" priority="7">
      <formula>$O$3="SCRIVERE LA CITTA'"</formula>
    </cfRule>
  </conditionalFormatting>
  <conditionalFormatting sqref="O13:AJ14">
    <cfRule type="expression" dxfId="4" priority="5">
      <formula>$O$3="CLICCA E SCEGLI IL TIPO DI VETRO OPPURE NO VETRO"</formula>
    </cfRule>
  </conditionalFormatting>
  <conditionalFormatting sqref="S19:X20">
    <cfRule type="expression" dxfId="3" priority="13">
      <formula>#REF!="SPECULARI"</formula>
    </cfRule>
  </conditionalFormatting>
  <conditionalFormatting sqref="W17:X18">
    <cfRule type="expression" dxfId="2" priority="12">
      <formula>$O$3="SCRIVI QUANTI BINARI DI QUELLA MISURA SERVONO"</formula>
    </cfRule>
  </conditionalFormatting>
  <conditionalFormatting sqref="Y19:Z20">
    <cfRule type="expression" dxfId="1" priority="11">
      <formula>$O$3="CLICCA E SCEGLI SE LE COMPOSIZIONI SONO SPECULARI"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95344F6-FA15-4B60-B7C2-9CF5E8A41555}">
          <x14:formula1>
            <xm:f>CARTELLINO!$U$42:$U$43</xm:f>
          </x14:formula1>
          <xm:sqref>O27:R28</xm:sqref>
        </x14:dataValidation>
        <x14:dataValidation type="list" allowBlank="1" showInputMessage="1" showErrorMessage="1" xr:uid="{BAF18F7C-EDBC-440A-A900-21406D95DA44}">
          <x14:formula1>
            <xm:f>DATI!$K$2:$K$5</xm:f>
          </x14:formula1>
          <xm:sqref>O29:R30</xm:sqref>
        </x14:dataValidation>
        <x14:dataValidation type="list" allowBlank="1" showInputMessage="1" showErrorMessage="1" xr:uid="{BE7C243A-29B6-41A4-8258-DFB1EDAE78C5}">
          <x14:formula1>
            <xm:f>DATI!$M$2</xm:f>
          </x14:formula1>
          <xm:sqref>O33:R34</xm:sqref>
        </x14:dataValidation>
        <x14:dataValidation type="list" allowBlank="1" showInputMessage="1" showErrorMessage="1" xr:uid="{B7327179-294A-4BE9-ACBB-278A32094129}">
          <x14:formula1>
            <xm:f>CARTELLINO!$U$45:$U$46</xm:f>
          </x14:formula1>
          <xm:sqref>O35:R36</xm:sqref>
        </x14:dataValidation>
        <x14:dataValidation type="list" allowBlank="1" showInputMessage="1" showErrorMessage="1" xr:uid="{F4FA83A1-F48A-4DB3-97B6-E561137E62D3}">
          <x14:formula1>
            <xm:f>CARTELLINO!$U$48:$U$49</xm:f>
          </x14:formula1>
          <xm:sqref>CA19:CB20 O39:O45 P39:R44 Y19:Z20</xm:sqref>
        </x14:dataValidation>
        <x14:dataValidation type="list" allowBlank="1" showInputMessage="1" showErrorMessage="1" xr:uid="{12F5B7D3-89C7-412B-812B-50CF24E4BC5D}">
          <x14:formula1>
            <xm:f>CARTELLINO!$U$36:$U$37</xm:f>
          </x14:formula1>
          <xm:sqref>CA15:CA16 O15</xm:sqref>
        </x14:dataValidation>
        <x14:dataValidation type="list" allowBlank="1" showInputMessage="1" showErrorMessage="1" xr:uid="{BB3785FC-0A84-42E5-AD2A-7A0384E49EB5}">
          <x14:formula1>
            <xm:f>CARTELLINO!$R$36:$R$54</xm:f>
          </x14:formula1>
          <xm:sqref>BU13:CL14</xm:sqref>
        </x14:dataValidation>
        <x14:dataValidation type="list" allowBlank="1" showInputMessage="1" showErrorMessage="1" xr:uid="{E606DCF4-A04F-4799-9D3C-B5DF6F80CA1F}">
          <x14:formula1>
            <xm:f>CARTELLINO!$U$39:$U$40</xm:f>
          </x14:formula1>
          <xm:sqref>O25:R26</xm:sqref>
        </x14:dataValidation>
        <x14:dataValidation type="list" allowBlank="1" showInputMessage="1" showErrorMessage="1" xr:uid="{AEF76A82-322D-4E0E-90CC-E1D7BA4F2BB6}">
          <x14:formula1>
            <xm:f>DATI!$L$2:$L$5</xm:f>
          </x14:formula1>
          <xm:sqref>O31:R32</xm:sqref>
        </x14:dataValidation>
        <x14:dataValidation type="list" allowBlank="1" showInputMessage="1" showErrorMessage="1" xr:uid="{16DD20FF-F2CC-4B37-9FD9-4DE5D8381E3C}">
          <x14:formula1>
            <xm:f>CARTELLINO!$R$36:$R$53</xm:f>
          </x14:formula1>
          <xm:sqref>O13:AJ14</xm:sqref>
        </x14:dataValidation>
        <x14:dataValidation type="list" allowBlank="1" showInputMessage="1" showErrorMessage="1" xr:uid="{AD9CF7AE-37FD-464C-B608-0D4C106D0F7A}">
          <x14:formula1>
            <xm:f>DATI!$A$19:$A$22</xm:f>
          </x14:formula1>
          <xm:sqref>O5:AJ6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S22"/>
  <sheetViews>
    <sheetView topLeftCell="A34" workbookViewId="0">
      <selection activeCell="T84" sqref="T84"/>
    </sheetView>
  </sheetViews>
  <sheetFormatPr defaultRowHeight="13.2" x14ac:dyDescent="0.25"/>
  <cols>
    <col min="1" max="1" width="20.6640625" customWidth="1"/>
    <col min="2" max="2" width="88.6640625" customWidth="1"/>
    <col min="5" max="5" width="9.109375" style="3"/>
    <col min="8" max="8" width="20.5546875" customWidth="1"/>
    <col min="9" max="9" width="4.6640625" style="10" customWidth="1"/>
    <col min="10" max="10" width="6.109375" style="10" customWidth="1"/>
    <col min="11" max="12" width="4.6640625" style="10" customWidth="1"/>
    <col min="13" max="13" width="3.6640625" customWidth="1"/>
    <col min="14" max="14" width="12.6640625" customWidth="1"/>
    <col min="15" max="15" width="10.109375" customWidth="1"/>
    <col min="16" max="18" width="3.6640625" customWidth="1"/>
    <col min="19" max="19" width="10" bestFit="1" customWidth="1"/>
  </cols>
  <sheetData>
    <row r="1" spans="1:19" ht="13.8" thickBot="1" x14ac:dyDescent="0.3">
      <c r="A1" s="9">
        <f>IF(H1&lt;&gt;"",H1,IF(H16&lt;&gt;"",H16,0))</f>
        <v>0</v>
      </c>
      <c r="C1" s="4" t="s">
        <v>111</v>
      </c>
      <c r="D1" s="4" t="s">
        <v>0</v>
      </c>
      <c r="E1" s="6" t="s">
        <v>1</v>
      </c>
      <c r="F1" s="4" t="s">
        <v>2</v>
      </c>
      <c r="G1" s="4" t="s">
        <v>112</v>
      </c>
      <c r="H1" s="8" t="str">
        <f>IF(H2=A2,A2,IF(H3=A3,A3,IF(H4=A4,A4,IF(H5=A5,A5,IF(H6=A6,A6,IF(H7=A7,A7,IF(H8=A8,A8,IF(H9=A9,A9,""))))))))</f>
        <v/>
      </c>
      <c r="I1" s="1"/>
      <c r="J1" s="11" t="s">
        <v>111</v>
      </c>
      <c r="K1" s="11" t="s">
        <v>0</v>
      </c>
      <c r="L1" s="14" t="s">
        <v>1</v>
      </c>
      <c r="M1" s="16" t="s">
        <v>2</v>
      </c>
      <c r="N1" s="1"/>
      <c r="O1" s="1"/>
    </row>
    <row r="2" spans="1:19" ht="135" customHeight="1" x14ac:dyDescent="0.25">
      <c r="A2" s="1" t="s">
        <v>66</v>
      </c>
      <c r="C2" s="5">
        <f>MODULO!$O$25</f>
        <v>0</v>
      </c>
      <c r="D2" s="5">
        <f>MODULO!$O$29</f>
        <v>0</v>
      </c>
      <c r="E2" s="5">
        <f>MODULO!$O$31</f>
        <v>0</v>
      </c>
      <c r="F2" s="5">
        <f>MODULO!$O$33</f>
        <v>0</v>
      </c>
      <c r="G2" s="1">
        <f>MODULO!$O$27</f>
        <v>0</v>
      </c>
      <c r="H2" s="2">
        <f>IF(AND(C2=2,D2=1,E2="2",F2=1,G2="DX"),"2ANTE  1A2B1C  DX",0)</f>
        <v>0</v>
      </c>
      <c r="I2" s="5"/>
      <c r="J2" s="12">
        <f>MODULO!$O$25</f>
        <v>0</v>
      </c>
      <c r="K2" s="12">
        <f>IF($C$2=3,"",1)</f>
        <v>1</v>
      </c>
      <c r="L2" s="15" t="str">
        <f>IF(AND($C$2=2,$D$2=3),"1",IF(AND($C$2=2,$D$2=2),"1",IF($C$2=3,"","")))</f>
        <v/>
      </c>
      <c r="M2" s="17" t="str">
        <f>IF(AND($C$2=2,$D$2+$E$2&lt;=3),1,"")</f>
        <v/>
      </c>
      <c r="N2" s="1"/>
      <c r="O2" s="10" t="s">
        <v>0</v>
      </c>
      <c r="P2" s="10" t="str">
        <f>IF(MODULO!$O$29&lt;&gt;"","A","D")</f>
        <v>D</v>
      </c>
      <c r="S2" s="10">
        <f>INDEX($N$2:$N$5,MATCH($P$2,$O$2:$O$5,0))</f>
        <v>0</v>
      </c>
    </row>
    <row r="3" spans="1:19" ht="135" customHeight="1" x14ac:dyDescent="0.25">
      <c r="A3" s="1" t="s">
        <v>67</v>
      </c>
      <c r="C3" s="5">
        <f>MODULO!$O$25</f>
        <v>0</v>
      </c>
      <c r="D3" s="5">
        <f>MODULO!$O$29</f>
        <v>0</v>
      </c>
      <c r="E3" s="5">
        <f>MODULO!$O$31</f>
        <v>0</v>
      </c>
      <c r="F3" s="5">
        <f>MODULO!$O$33</f>
        <v>0</v>
      </c>
      <c r="G3" s="1">
        <f>MODULO!$O$27</f>
        <v>0</v>
      </c>
      <c r="H3" s="2">
        <f>IF(AND(C3=2,D3=1,E3="2",F3=1,G3="SX"),"2ANTE  1A2B1C  SX",0)</f>
        <v>0</v>
      </c>
      <c r="J3" s="13"/>
      <c r="K3" s="13">
        <v>2</v>
      </c>
      <c r="L3" s="15" t="str">
        <f>IF(AND($C$2=2,$D$2=2),"2",IF(AND($C$2=2,$D$2=1),"2",IF(AND($C$2=3,$D$2=4),"2","")))</f>
        <v/>
      </c>
      <c r="M3" s="18"/>
      <c r="O3" s="10" t="s">
        <v>1</v>
      </c>
      <c r="P3" s="10" t="str">
        <f>IF(MODULO!$O$29&lt;&gt;"","B","D")</f>
        <v>D</v>
      </c>
      <c r="S3" s="10">
        <f>INDEX($N$2:$N$5,MATCH($P$3,$O$2:$O$5,0))</f>
        <v>0</v>
      </c>
    </row>
    <row r="4" spans="1:19" ht="135" customHeight="1" x14ac:dyDescent="0.25">
      <c r="A4" s="1" t="s">
        <v>68</v>
      </c>
      <c r="C4" s="5">
        <f>MODULO!$O$25</f>
        <v>0</v>
      </c>
      <c r="D4" s="5">
        <f>MODULO!$O$29</f>
        <v>0</v>
      </c>
      <c r="E4" s="5">
        <f>MODULO!$O$31</f>
        <v>0</v>
      </c>
      <c r="F4" s="5">
        <f>MODULO!$O$33</f>
        <v>0</v>
      </c>
      <c r="G4" s="1">
        <f>MODULO!$O$27</f>
        <v>0</v>
      </c>
      <c r="H4" s="2">
        <f>IF(AND(C4=2,D4=2,E4="1",F4=1,G4="DX"),"2ANTE  2A1B1C  DX",0)</f>
        <v>0</v>
      </c>
      <c r="J4" s="13"/>
      <c r="K4" s="13">
        <v>3</v>
      </c>
      <c r="L4" s="15" t="str">
        <f>IF(AND($C$2=3,$D$2=3),"3","")</f>
        <v/>
      </c>
      <c r="M4" s="18"/>
      <c r="O4" s="10" t="s">
        <v>2</v>
      </c>
      <c r="P4" s="380" t="str">
        <f>IF($M$2="","D",IF($C$2=3,"D",IF(MODULO!$O$29&lt;&gt;"","C","D")))</f>
        <v>D</v>
      </c>
      <c r="S4" s="10"/>
    </row>
    <row r="5" spans="1:19" ht="135" customHeight="1" x14ac:dyDescent="0.25">
      <c r="A5" s="1" t="s">
        <v>69</v>
      </c>
      <c r="C5" s="5">
        <f>MODULO!$O$25</f>
        <v>0</v>
      </c>
      <c r="D5" s="5">
        <f>MODULO!$O$29</f>
        <v>0</v>
      </c>
      <c r="E5" s="5">
        <f>MODULO!$O$31</f>
        <v>0</v>
      </c>
      <c r="F5" s="5">
        <f>MODULO!$O$33</f>
        <v>0</v>
      </c>
      <c r="G5" s="1">
        <f>MODULO!$O$27</f>
        <v>0</v>
      </c>
      <c r="H5" s="2">
        <f>IF(AND(C5=2,D5=2,E5="1",F5=1,G5="SX"),"2ANTE  2A1B1C  SX",0)</f>
        <v>0</v>
      </c>
      <c r="J5" s="13"/>
      <c r="K5" s="13" t="str">
        <f>IF($C$2=3,4,"")</f>
        <v/>
      </c>
      <c r="L5" s="15" t="str">
        <f>IF(AND($C$2=3,$D$2=2),"4","")</f>
        <v/>
      </c>
      <c r="M5" s="18"/>
      <c r="O5" s="10" t="s">
        <v>23</v>
      </c>
      <c r="P5" s="380"/>
      <c r="S5">
        <f>IF(DATI!$P$4&lt;&gt;"",INDEX($N$2:$N$5,MATCH($P$4,$O$2:$O$5,0)),"D")</f>
        <v>0</v>
      </c>
    </row>
    <row r="6" spans="1:19" ht="135" customHeight="1" x14ac:dyDescent="0.25">
      <c r="A6" s="1" t="s">
        <v>70</v>
      </c>
      <c r="C6" s="5">
        <f>MODULO!$O$25</f>
        <v>0</v>
      </c>
      <c r="D6" s="5">
        <f>MODULO!$O$29</f>
        <v>0</v>
      </c>
      <c r="E6" s="5">
        <f>MODULO!$O$31</f>
        <v>0</v>
      </c>
      <c r="F6" s="5">
        <f>MODULO!$O$33</f>
        <v>0</v>
      </c>
      <c r="G6" s="1">
        <f>MODULO!$O$27</f>
        <v>0</v>
      </c>
      <c r="H6" s="2">
        <f>IF(AND(C6=2,D6=2,E6="2",G6="DX"),"2ANTE  2A2B  DX",0)</f>
        <v>0</v>
      </c>
    </row>
    <row r="7" spans="1:19" ht="135" customHeight="1" x14ac:dyDescent="0.25">
      <c r="A7" s="1" t="s">
        <v>71</v>
      </c>
      <c r="C7" s="5">
        <f>MODULO!$O$25</f>
        <v>0</v>
      </c>
      <c r="D7" s="5">
        <f>MODULO!$O$29</f>
        <v>0</v>
      </c>
      <c r="E7" s="5">
        <f>MODULO!$O$31</f>
        <v>0</v>
      </c>
      <c r="F7" s="5">
        <f>MODULO!$O$33</f>
        <v>0</v>
      </c>
      <c r="G7" s="1">
        <f>MODULO!$O$27</f>
        <v>0</v>
      </c>
      <c r="H7" s="2">
        <f>IF(AND(C7=2,D7=2,E7="2",G7="SX"),"2ANTE  2A2B  SX",0)</f>
        <v>0</v>
      </c>
    </row>
    <row r="8" spans="1:19" ht="135" customHeight="1" x14ac:dyDescent="0.25">
      <c r="A8" s="1" t="s">
        <v>72</v>
      </c>
      <c r="C8" s="5">
        <f>MODULO!$O$25</f>
        <v>0</v>
      </c>
      <c r="D8" s="5">
        <f>MODULO!$O$29</f>
        <v>0</v>
      </c>
      <c r="E8" s="5">
        <f>MODULO!$O$31</f>
        <v>0</v>
      </c>
      <c r="F8" s="5">
        <f>MODULO!$O$33</f>
        <v>0</v>
      </c>
      <c r="G8" s="1">
        <f>MODULO!$O$27</f>
        <v>0</v>
      </c>
      <c r="H8" s="2">
        <f>IF(AND(C8=2,D8=3,E8="1",G8="DX"),"2ANTE  3A1B  DX",0)</f>
        <v>0</v>
      </c>
    </row>
    <row r="9" spans="1:19" ht="135" customHeight="1" x14ac:dyDescent="0.25">
      <c r="A9" s="1" t="s">
        <v>73</v>
      </c>
      <c r="C9" s="5">
        <f>MODULO!$O$25</f>
        <v>0</v>
      </c>
      <c r="D9" s="5">
        <f>MODULO!$O$29</f>
        <v>0</v>
      </c>
      <c r="E9" s="5">
        <f>MODULO!$O$31</f>
        <v>0</v>
      </c>
      <c r="F9" s="5">
        <f>MODULO!$O$33</f>
        <v>0</v>
      </c>
      <c r="G9" s="1">
        <f>MODULO!$O$27</f>
        <v>0</v>
      </c>
      <c r="H9" s="2">
        <f>IF(AND(C9=2,D9=3,E9="1",G9="SX"),"2ANTE  3A1B  SX",0)</f>
        <v>0</v>
      </c>
    </row>
    <row r="10" spans="1:19" ht="135" customHeight="1" x14ac:dyDescent="0.25">
      <c r="A10" s="1" t="s">
        <v>74</v>
      </c>
      <c r="C10" s="5">
        <f>MODULO!$O$25</f>
        <v>0</v>
      </c>
      <c r="D10" s="5">
        <f>MODULO!$O$29</f>
        <v>0</v>
      </c>
      <c r="E10" s="5">
        <f>MODULO!$O$31</f>
        <v>0</v>
      </c>
      <c r="F10" s="5">
        <f>MODULO!$O$33</f>
        <v>0</v>
      </c>
      <c r="G10" s="1">
        <f>MODULO!$O$27</f>
        <v>0</v>
      </c>
      <c r="H10" s="2">
        <f>IF(AND(C10=3,D10=2,E10="4",G10="DX"),"3ANTE  2A4B  DX",0)</f>
        <v>0</v>
      </c>
    </row>
    <row r="11" spans="1:19" ht="135" customHeight="1" x14ac:dyDescent="0.25">
      <c r="A11" s="1" t="s">
        <v>75</v>
      </c>
      <c r="C11" s="5">
        <f>MODULO!$O$25</f>
        <v>0</v>
      </c>
      <c r="D11" s="5">
        <f>MODULO!$O$29</f>
        <v>0</v>
      </c>
      <c r="E11" s="5">
        <f>MODULO!$O$31</f>
        <v>0</v>
      </c>
      <c r="F11" s="5">
        <f>MODULO!$O$33</f>
        <v>0</v>
      </c>
      <c r="G11" s="1">
        <f>MODULO!$O$27</f>
        <v>0</v>
      </c>
      <c r="H11" s="2">
        <f>IF(AND(C11=3,D11=2,E11="4",G11="SX"),"3ANTE  2A4B  SX",0)</f>
        <v>0</v>
      </c>
    </row>
    <row r="12" spans="1:19" ht="135" customHeight="1" x14ac:dyDescent="0.25">
      <c r="A12" s="1" t="s">
        <v>76</v>
      </c>
      <c r="C12" s="5">
        <f>MODULO!$O$25</f>
        <v>0</v>
      </c>
      <c r="D12" s="5">
        <f>MODULO!$O$29</f>
        <v>0</v>
      </c>
      <c r="E12" s="5">
        <f>MODULO!$O$31</f>
        <v>0</v>
      </c>
      <c r="F12" s="5">
        <f>MODULO!$O$33</f>
        <v>0</v>
      </c>
      <c r="G12" s="1">
        <f>MODULO!$O$27</f>
        <v>0</v>
      </c>
      <c r="H12" s="2">
        <f>IF(AND(C12=3,D12=3,E12="3",G12="DX"),"3ANTE  3A3B  DX",0)</f>
        <v>0</v>
      </c>
    </row>
    <row r="13" spans="1:19" ht="135" customHeight="1" x14ac:dyDescent="0.25">
      <c r="A13" s="1" t="s">
        <v>77</v>
      </c>
      <c r="C13" s="5">
        <f>MODULO!$O$25</f>
        <v>0</v>
      </c>
      <c r="D13" s="5">
        <f>MODULO!$O$29</f>
        <v>0</v>
      </c>
      <c r="E13" s="5">
        <f>MODULO!$O$31</f>
        <v>0</v>
      </c>
      <c r="F13" s="5">
        <f>MODULO!$O$33</f>
        <v>0</v>
      </c>
      <c r="G13" s="1">
        <f>MODULO!$O$27</f>
        <v>0</v>
      </c>
      <c r="H13" s="2">
        <f>IF(AND(C13=3,D13=3,E13="3",G13="SX"),"3ANTE  3A3B  SX",0)</f>
        <v>0</v>
      </c>
    </row>
    <row r="14" spans="1:19" ht="135" customHeight="1" x14ac:dyDescent="0.25">
      <c r="A14" s="1" t="s">
        <v>78</v>
      </c>
      <c r="C14" s="5">
        <f>MODULO!$O$25</f>
        <v>0</v>
      </c>
      <c r="D14" s="5">
        <f>MODULO!$O$29</f>
        <v>0</v>
      </c>
      <c r="E14" s="5">
        <f>MODULO!$O$31</f>
        <v>0</v>
      </c>
      <c r="F14" s="5">
        <f>MODULO!$O$33</f>
        <v>0</v>
      </c>
      <c r="G14" s="1">
        <f>MODULO!$O$27</f>
        <v>0</v>
      </c>
      <c r="H14" s="2">
        <f>IF(AND(C14=3,D14=4,E14="2",G14="DX"),"3ANTE  4A2B  DX",0)</f>
        <v>0</v>
      </c>
    </row>
    <row r="15" spans="1:19" ht="135" customHeight="1" thickBot="1" x14ac:dyDescent="0.3">
      <c r="A15" s="1" t="s">
        <v>79</v>
      </c>
      <c r="C15" s="5">
        <f>MODULO!$O$25</f>
        <v>0</v>
      </c>
      <c r="D15" s="5">
        <f>MODULO!$O$29</f>
        <v>0</v>
      </c>
      <c r="E15" s="5">
        <f>MODULO!$O$31</f>
        <v>0</v>
      </c>
      <c r="F15" s="5">
        <f>MODULO!$O$33</f>
        <v>0</v>
      </c>
      <c r="G15" s="1">
        <f>MODULO!$O$27</f>
        <v>0</v>
      </c>
      <c r="H15" s="2">
        <f>IF(AND(C15=3,D15=4,E15="2",G15="SX"),"3ANTE  4A2B  SX",0)</f>
        <v>0</v>
      </c>
    </row>
    <row r="16" spans="1:19" ht="135" customHeight="1" thickBot="1" x14ac:dyDescent="0.3">
      <c r="A16">
        <v>0</v>
      </c>
      <c r="H16" s="7" t="str">
        <f>IF(H15=A15,A15,IF(H14=A14,A14,IF(H13=A13,A13,IF(H12=A12,A12,IF(H11=A11,A11,IF(H11=A11,A11,IF(H10=A10,A10,"")))))))</f>
        <v/>
      </c>
      <c r="J16" s="1" t="s">
        <v>0</v>
      </c>
      <c r="K16" s="1" t="s">
        <v>1</v>
      </c>
      <c r="L16" s="1" t="s">
        <v>2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</sheetData>
  <sheetProtection algorithmName="SHA-512" hashValue="Q1yZDilkwifsd3mxH692dSjYjxJxARcZaPGqLGeCJj4E5EEltLO1c3QfGxXuNV9E4GLhg6IRBnP5k6jRY/TadA==" saltValue="Ws4HCybWmbwnkHsnKxfVSQ==" spinCount="100000" sheet="1" objects="1" scenarios="1" selectLockedCells="1"/>
  <mergeCells count="1">
    <mergeCell ref="P4:P5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DJ164"/>
  <sheetViews>
    <sheetView showGridLines="0" showRowColHeaders="0" view="pageBreakPreview" topLeftCell="A7" zoomScaleNormal="100" zoomScaleSheetLayoutView="100" workbookViewId="0">
      <selection activeCell="J7" sqref="J7:K7"/>
    </sheetView>
  </sheetViews>
  <sheetFormatPr defaultRowHeight="13.2" x14ac:dyDescent="0.25"/>
  <cols>
    <col min="1" max="1" width="72.44140625" customWidth="1"/>
    <col min="2" max="2" width="14.77734375" customWidth="1"/>
    <col min="3" max="3" width="8.6640625" customWidth="1"/>
    <col min="5" max="5" width="12.77734375" customWidth="1"/>
    <col min="6" max="7" width="4.77734375" customWidth="1"/>
    <col min="8" max="8" width="7.77734375" customWidth="1"/>
    <col min="9" max="9" width="16.77734375" customWidth="1"/>
    <col min="10" max="10" width="10.77734375" customWidth="1"/>
    <col min="11" max="11" width="16.77734375" customWidth="1"/>
    <col min="12" max="12" width="12.44140625" customWidth="1"/>
    <col min="13" max="13" width="29.109375" customWidth="1"/>
    <col min="14" max="14" width="12.6640625" customWidth="1"/>
    <col min="15" max="15" width="14.6640625" customWidth="1"/>
    <col min="16" max="16" width="15.88671875" customWidth="1"/>
    <col min="18" max="18" width="33.6640625" customWidth="1"/>
    <col min="19" max="19" width="15.33203125" customWidth="1"/>
    <col min="20" max="20" width="9.6640625" customWidth="1"/>
    <col min="21" max="21" width="14.33203125" customWidth="1"/>
    <col min="22" max="22" width="8.6640625" customWidth="1"/>
    <col min="23" max="23" width="7.6640625" customWidth="1"/>
  </cols>
  <sheetData>
    <row r="1" spans="1:104" s="92" customFormat="1" ht="20.399999999999999" x14ac:dyDescent="0.35"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93"/>
    </row>
    <row r="2" spans="1:104" s="92" customFormat="1" ht="12.9" customHeight="1" x14ac:dyDescent="0.25">
      <c r="B2" s="419" t="s">
        <v>41</v>
      </c>
      <c r="C2" s="419"/>
      <c r="D2" s="419"/>
      <c r="E2" s="419"/>
      <c r="F2" s="419"/>
      <c r="G2" s="419"/>
      <c r="H2" s="419"/>
      <c r="I2" s="419"/>
      <c r="J2" s="419"/>
      <c r="K2" s="419"/>
      <c r="L2" s="94"/>
    </row>
    <row r="3" spans="1:104" s="92" customFormat="1" ht="15" customHeight="1" x14ac:dyDescent="0.25"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94"/>
    </row>
    <row r="4" spans="1:104" s="92" customFormat="1" ht="22.8" x14ac:dyDescent="0.25"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94"/>
    </row>
    <row r="5" spans="1:104" s="92" customFormat="1" x14ac:dyDescent="0.25"/>
    <row r="6" spans="1:104" s="92" customFormat="1" x14ac:dyDescent="0.25"/>
    <row r="7" spans="1:104" ht="15.75" customHeight="1" x14ac:dyDescent="0.25">
      <c r="A7" s="92"/>
      <c r="B7" s="55" t="s">
        <v>24</v>
      </c>
      <c r="C7" s="420">
        <f>MODULO!$O$7</f>
        <v>0</v>
      </c>
      <c r="D7" s="420"/>
      <c r="E7" s="420"/>
      <c r="F7" s="420"/>
      <c r="G7" s="420"/>
      <c r="H7" s="56"/>
      <c r="I7" s="55" t="s">
        <v>25</v>
      </c>
      <c r="J7" s="409"/>
      <c r="K7" s="409"/>
      <c r="L7" s="95"/>
      <c r="M7" s="96"/>
      <c r="N7" s="96"/>
      <c r="O7" s="9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</row>
    <row r="8" spans="1:104" ht="15.75" customHeight="1" x14ac:dyDescent="0.25">
      <c r="A8" s="92"/>
      <c r="B8" s="55" t="s">
        <v>46</v>
      </c>
      <c r="C8" s="420">
        <f>MODULO!$O$9</f>
        <v>0</v>
      </c>
      <c r="D8" s="420"/>
      <c r="E8" s="420"/>
      <c r="F8" s="420"/>
      <c r="G8" s="420"/>
      <c r="H8" s="57" t="s">
        <v>27</v>
      </c>
      <c r="I8" s="421">
        <f>MODULO!$O$11</f>
        <v>0</v>
      </c>
      <c r="J8" s="421"/>
      <c r="K8" s="421"/>
      <c r="L8" s="90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</row>
    <row r="9" spans="1:104" ht="15.75" customHeight="1" x14ac:dyDescent="0.25">
      <c r="A9" s="92"/>
      <c r="B9" s="56" t="s">
        <v>26</v>
      </c>
      <c r="C9" s="381">
        <f>MODULO!$O$5</f>
        <v>0</v>
      </c>
      <c r="D9" s="381"/>
      <c r="E9" s="381"/>
      <c r="F9" s="381"/>
      <c r="G9" s="381"/>
      <c r="H9" s="381"/>
      <c r="I9" s="389" t="str">
        <f>IF(MODULO!$O$43="SI","MONTATO","SMONTATO")</f>
        <v>SMONTATO</v>
      </c>
      <c r="J9" s="389"/>
      <c r="K9" s="389"/>
      <c r="L9" s="97"/>
      <c r="M9" s="96"/>
      <c r="N9" s="96"/>
      <c r="O9" s="9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</row>
    <row r="10" spans="1:104" ht="15.75" customHeight="1" x14ac:dyDescent="0.25">
      <c r="A10" s="92"/>
      <c r="B10" s="203" t="s">
        <v>65</v>
      </c>
      <c r="C10" s="381"/>
      <c r="D10" s="381"/>
      <c r="E10" s="381"/>
      <c r="F10" s="381"/>
      <c r="G10" s="381"/>
      <c r="H10" s="381"/>
      <c r="I10" s="389"/>
      <c r="J10" s="389"/>
      <c r="K10" s="389"/>
      <c r="L10" s="97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</row>
    <row r="11" spans="1:104" s="98" customFormat="1" ht="45" customHeight="1" x14ac:dyDescent="0.25">
      <c r="A11" s="92"/>
      <c r="B11" s="410" t="str">
        <f>IF(MODULO!$F$48&lt;&gt;"",MODULO!$F$48,"")</f>
        <v/>
      </c>
      <c r="C11" s="410"/>
      <c r="D11" s="410"/>
      <c r="E11" s="410"/>
      <c r="F11" s="410"/>
      <c r="G11" s="410"/>
      <c r="H11" s="410"/>
      <c r="I11" s="410"/>
      <c r="J11" s="410"/>
      <c r="K11" s="410"/>
      <c r="L11" s="88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</row>
    <row r="12" spans="1:104" s="98" customFormat="1" ht="15.75" customHeight="1" x14ac:dyDescent="0.25">
      <c r="A12" s="92"/>
      <c r="B12" s="405"/>
      <c r="C12" s="405"/>
      <c r="D12" s="405"/>
      <c r="E12" s="405"/>
      <c r="F12" s="405"/>
      <c r="G12" s="405"/>
      <c r="H12" s="405"/>
      <c r="I12" s="405"/>
      <c r="J12" s="405"/>
      <c r="K12" s="425" t="str">
        <f>IF(MODULO!$BE$1&lt;&gt;"",MODULO!$BE$1,"")</f>
        <v/>
      </c>
      <c r="L12" s="91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</row>
    <row r="13" spans="1:104" s="98" customFormat="1" ht="15.75" customHeight="1" x14ac:dyDescent="0.25">
      <c r="A13" s="92"/>
      <c r="B13" s="405"/>
      <c r="C13" s="405"/>
      <c r="D13" s="405"/>
      <c r="E13" s="405"/>
      <c r="F13" s="405"/>
      <c r="G13" s="405"/>
      <c r="H13" s="405"/>
      <c r="I13" s="405"/>
      <c r="J13" s="405"/>
      <c r="K13" s="425"/>
      <c r="L13" s="91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</row>
    <row r="14" spans="1:104" s="98" customFormat="1" ht="15.75" customHeight="1" x14ac:dyDescent="0.25">
      <c r="A14" s="92"/>
      <c r="B14" s="405"/>
      <c r="C14" s="405"/>
      <c r="D14" s="405"/>
      <c r="E14" s="405"/>
      <c r="F14" s="405"/>
      <c r="G14" s="405"/>
      <c r="H14" s="405"/>
      <c r="I14" s="405"/>
      <c r="J14" s="405"/>
      <c r="K14" s="425"/>
      <c r="L14" s="91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</row>
    <row r="15" spans="1:104" s="98" customFormat="1" ht="15.75" customHeight="1" x14ac:dyDescent="0.25">
      <c r="A15" s="92"/>
      <c r="B15" s="405"/>
      <c r="C15" s="405"/>
      <c r="D15" s="405"/>
      <c r="E15" s="405"/>
      <c r="F15" s="405"/>
      <c r="G15" s="405"/>
      <c r="H15" s="405"/>
      <c r="I15" s="405"/>
      <c r="J15" s="405"/>
      <c r="K15" s="425"/>
      <c r="L15" s="91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</row>
    <row r="16" spans="1:104" s="98" customFormat="1" ht="15.75" customHeight="1" x14ac:dyDescent="0.25">
      <c r="A16" s="92"/>
      <c r="B16" s="405"/>
      <c r="C16" s="405"/>
      <c r="D16" s="405"/>
      <c r="E16" s="405"/>
      <c r="F16" s="405"/>
      <c r="G16" s="405"/>
      <c r="H16" s="405"/>
      <c r="I16" s="405"/>
      <c r="J16" s="405"/>
      <c r="K16" s="425"/>
      <c r="L16" s="91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</row>
    <row r="17" spans="1:104" s="98" customFormat="1" ht="15.75" customHeight="1" x14ac:dyDescent="0.25">
      <c r="A17" s="92"/>
      <c r="B17" s="405"/>
      <c r="C17" s="405"/>
      <c r="D17" s="405"/>
      <c r="E17" s="405"/>
      <c r="F17" s="405"/>
      <c r="G17" s="405"/>
      <c r="H17" s="405"/>
      <c r="I17" s="405"/>
      <c r="J17" s="405"/>
      <c r="K17" s="425"/>
      <c r="L17" s="91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</row>
    <row r="18" spans="1:104" s="98" customFormat="1" ht="15.75" customHeight="1" x14ac:dyDescent="0.25">
      <c r="A18" s="92"/>
      <c r="B18" s="405"/>
      <c r="C18" s="405"/>
      <c r="D18" s="405"/>
      <c r="E18" s="405"/>
      <c r="F18" s="405"/>
      <c r="G18" s="405"/>
      <c r="H18" s="405"/>
      <c r="I18" s="405"/>
      <c r="J18" s="405"/>
      <c r="K18" s="425"/>
      <c r="L18" s="91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</row>
    <row r="19" spans="1:104" s="98" customFormat="1" ht="15.75" customHeight="1" x14ac:dyDescent="0.25">
      <c r="A19" s="92"/>
      <c r="B19" s="405"/>
      <c r="C19" s="405"/>
      <c r="D19" s="405"/>
      <c r="E19" s="405"/>
      <c r="F19" s="405"/>
      <c r="G19" s="405"/>
      <c r="H19" s="405"/>
      <c r="I19" s="405"/>
      <c r="J19" s="405"/>
      <c r="K19" s="425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</row>
    <row r="20" spans="1:104" s="98" customFormat="1" ht="15.75" customHeight="1" x14ac:dyDescent="0.25">
      <c r="A20" s="92"/>
      <c r="B20" s="87" t="s">
        <v>115</v>
      </c>
      <c r="C20" s="403" t="s">
        <v>116</v>
      </c>
      <c r="D20" s="403"/>
      <c r="E20" s="403" t="s">
        <v>117</v>
      </c>
      <c r="F20" s="403"/>
      <c r="G20" s="58"/>
      <c r="H20" s="58"/>
      <c r="I20" s="58"/>
      <c r="J20" s="58"/>
      <c r="K20" s="58"/>
      <c r="L20" s="99"/>
      <c r="M20" s="99"/>
      <c r="N20" s="99"/>
      <c r="O20" s="99"/>
      <c r="P20" s="99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</row>
    <row r="21" spans="1:104" s="98" customFormat="1" ht="15.75" customHeight="1" x14ac:dyDescent="0.25">
      <c r="A21" s="92"/>
      <c r="B21" s="448"/>
      <c r="C21" s="448"/>
      <c r="D21" s="448"/>
      <c r="E21" s="448"/>
      <c r="F21" s="448"/>
      <c r="G21" s="447" t="str">
        <f>IF(MODULO!$O$45="SI",MODULO!$B$45,"")</f>
        <v/>
      </c>
      <c r="H21" s="447"/>
      <c r="I21" s="447"/>
      <c r="J21" s="447"/>
      <c r="K21" s="447"/>
      <c r="L21" s="91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</row>
    <row r="22" spans="1:104" s="98" customFormat="1" ht="15.75" customHeight="1" x14ac:dyDescent="0.25">
      <c r="A22" s="92"/>
      <c r="B22" s="448"/>
      <c r="C22" s="448"/>
      <c r="D22" s="448"/>
      <c r="E22" s="448"/>
      <c r="F22" s="448"/>
      <c r="G22" s="91"/>
      <c r="H22" s="91"/>
      <c r="I22" s="91"/>
      <c r="J22" s="91"/>
      <c r="K22" s="91"/>
      <c r="L22" s="91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</row>
    <row r="23" spans="1:104" s="98" customFormat="1" ht="15.75" customHeight="1" x14ac:dyDescent="0.25">
      <c r="A23" s="100"/>
      <c r="B23" s="448"/>
      <c r="C23" s="448"/>
      <c r="D23" s="448"/>
      <c r="E23" s="448"/>
      <c r="F23" s="448"/>
      <c r="G23" s="455" t="s">
        <v>207</v>
      </c>
      <c r="H23" s="405"/>
      <c r="I23" s="405"/>
      <c r="J23" s="405"/>
      <c r="K23" s="405"/>
      <c r="L23" s="68"/>
      <c r="M23" s="100"/>
      <c r="N23" s="100"/>
      <c r="O23" s="100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</row>
    <row r="24" spans="1:104" s="98" customFormat="1" ht="15.75" customHeight="1" thickBot="1" x14ac:dyDescent="0.3">
      <c r="A24" s="100"/>
      <c r="B24" s="448"/>
      <c r="C24" s="448"/>
      <c r="D24" s="448"/>
      <c r="E24" s="448"/>
      <c r="F24" s="448"/>
      <c r="G24" s="456"/>
      <c r="H24" s="405"/>
      <c r="I24" s="405"/>
      <c r="J24" s="405"/>
      <c r="K24" s="405"/>
      <c r="L24" s="59"/>
      <c r="M24" s="100"/>
      <c r="N24" s="100"/>
      <c r="O24" s="100"/>
      <c r="P24" s="92"/>
      <c r="Q24" s="382" t="s">
        <v>106</v>
      </c>
      <c r="R24" s="382"/>
      <c r="S24" s="382"/>
      <c r="T24" s="382"/>
      <c r="U24" s="382"/>
      <c r="V24" s="38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</row>
    <row r="25" spans="1:104" s="98" customFormat="1" ht="19.95" customHeight="1" x14ac:dyDescent="0.25">
      <c r="A25" s="100"/>
      <c r="B25" s="448"/>
      <c r="C25" s="448"/>
      <c r="D25" s="448"/>
      <c r="E25" s="448"/>
      <c r="F25" s="450"/>
      <c r="G25" s="411" t="s">
        <v>4</v>
      </c>
      <c r="H25" s="412"/>
      <c r="I25" s="413"/>
      <c r="J25" s="237" t="s">
        <v>5</v>
      </c>
      <c r="K25" s="238">
        <f>IF(MODULO!$AG$19&lt;&gt;"",MODULO!$AG$19,0)</f>
        <v>0</v>
      </c>
      <c r="L25" s="68"/>
      <c r="M25" s="100"/>
      <c r="N25" s="100"/>
      <c r="O25" s="100"/>
      <c r="P25" s="92"/>
      <c r="Q25" s="383"/>
      <c r="R25" s="383"/>
      <c r="S25" s="383"/>
      <c r="T25" s="383"/>
      <c r="U25" s="383"/>
      <c r="V25" s="383"/>
      <c r="W25"/>
      <c r="X25" s="383" t="s">
        <v>107</v>
      </c>
      <c r="Y25" s="383"/>
      <c r="Z25" s="383"/>
      <c r="AA25" s="383"/>
      <c r="AB25" s="383"/>
      <c r="AC25" s="383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</row>
    <row r="26" spans="1:104" s="98" customFormat="1" ht="19.95" customHeight="1" thickBot="1" x14ac:dyDescent="0.3">
      <c r="A26" s="100"/>
      <c r="B26" s="448"/>
      <c r="C26" s="448"/>
      <c r="D26" s="448"/>
      <c r="E26" s="448"/>
      <c r="F26" s="450"/>
      <c r="G26" s="414"/>
      <c r="H26" s="415"/>
      <c r="I26" s="416"/>
      <c r="J26" s="239" t="s">
        <v>6</v>
      </c>
      <c r="K26" s="240">
        <f>IF(MODULO!$AG$21&lt;&gt;"",MODULO!$AG$21,0)</f>
        <v>0</v>
      </c>
      <c r="L26" s="68"/>
      <c r="M26" s="100"/>
      <c r="N26" s="100"/>
      <c r="O26" s="100"/>
      <c r="P26" s="92"/>
      <c r="Q26" s="101" t="s">
        <v>166</v>
      </c>
      <c r="R26" s="102" t="s">
        <v>167</v>
      </c>
      <c r="S26" s="102" t="s">
        <v>182</v>
      </c>
      <c r="T26" s="101" t="s">
        <v>166</v>
      </c>
      <c r="U26" s="103" t="s">
        <v>167</v>
      </c>
      <c r="V26" s="234" t="s">
        <v>183</v>
      </c>
      <c r="W26" s="83"/>
      <c r="X26" s="101" t="s">
        <v>166</v>
      </c>
      <c r="Y26" s="102" t="s">
        <v>167</v>
      </c>
      <c r="Z26" s="102" t="s">
        <v>182</v>
      </c>
      <c r="AA26" s="101" t="s">
        <v>166</v>
      </c>
      <c r="AB26" s="103" t="s">
        <v>167</v>
      </c>
      <c r="AC26" s="234" t="s">
        <v>183</v>
      </c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</row>
    <row r="27" spans="1:104" s="98" customFormat="1" ht="19.95" customHeight="1" x14ac:dyDescent="0.25">
      <c r="A27" s="100"/>
      <c r="B27" s="448"/>
      <c r="C27" s="448"/>
      <c r="D27" s="448"/>
      <c r="E27" s="448"/>
      <c r="F27" s="448"/>
      <c r="G27" s="417" t="s">
        <v>28</v>
      </c>
      <c r="H27" s="417"/>
      <c r="I27" s="417"/>
      <c r="J27" s="418"/>
      <c r="K27" s="236">
        <f>IF(MODULO!$O$35="A VISTA",MODULO!$O$37,0)</f>
        <v>0</v>
      </c>
      <c r="L27" s="68"/>
      <c r="M27" s="100"/>
      <c r="N27" s="100"/>
      <c r="O27" s="100"/>
      <c r="P27" s="104">
        <f>P102-P37-P35-P34-P33-P32-P31-P30</f>
        <v>0</v>
      </c>
      <c r="Q27" s="105">
        <v>1500</v>
      </c>
      <c r="R27" s="228" t="s">
        <v>170</v>
      </c>
      <c r="S27" s="105">
        <f>Q27*Foglio1!$G$22/1000</f>
        <v>24.089399999999998</v>
      </c>
      <c r="T27" s="106">
        <v>1500</v>
      </c>
      <c r="U27" s="231" t="s">
        <v>175</v>
      </c>
      <c r="V27" s="105">
        <f>T27*Foglio1!$G$23/1000</f>
        <v>26.9406</v>
      </c>
      <c r="W27" s="107"/>
      <c r="X27" s="105">
        <v>1500</v>
      </c>
      <c r="Y27" s="228" t="s">
        <v>220</v>
      </c>
      <c r="Z27" s="105">
        <v>23.92</v>
      </c>
      <c r="AA27" s="106">
        <v>1500</v>
      </c>
      <c r="AB27" s="231" t="s">
        <v>227</v>
      </c>
      <c r="AC27" s="105">
        <v>26.06</v>
      </c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</row>
    <row r="28" spans="1:104" s="98" customFormat="1" ht="19.95" customHeight="1" x14ac:dyDescent="0.25">
      <c r="A28" s="100"/>
      <c r="B28" s="448"/>
      <c r="C28" s="448"/>
      <c r="D28" s="448"/>
      <c r="E28" s="448"/>
      <c r="F28" s="448"/>
      <c r="G28" s="422" t="s">
        <v>43</v>
      </c>
      <c r="H28" s="423"/>
      <c r="I28" s="423"/>
      <c r="J28" s="424"/>
      <c r="K28" s="60">
        <f>IF(MODULO!$O$35="NASCOSTI",MODULO!$O$37,0)</f>
        <v>0</v>
      </c>
      <c r="L28" s="68"/>
      <c r="M28" s="100"/>
      <c r="N28" s="100"/>
      <c r="O28" s="100"/>
      <c r="P28" s="92"/>
      <c r="Q28" s="108">
        <v>2000</v>
      </c>
      <c r="R28" s="229" t="s">
        <v>168</v>
      </c>
      <c r="S28" s="108">
        <f>Q28*Foglio1!$G$22/1000</f>
        <v>32.119199999999999</v>
      </c>
      <c r="T28" s="109">
        <v>2000</v>
      </c>
      <c r="U28" s="232" t="s">
        <v>176</v>
      </c>
      <c r="V28" s="108">
        <f>T28*Foglio1!$G$23/1000</f>
        <v>35.9208</v>
      </c>
      <c r="W28" s="107"/>
      <c r="X28" s="108">
        <v>2000</v>
      </c>
      <c r="Y28" s="229" t="s">
        <v>221</v>
      </c>
      <c r="Z28" s="108">
        <v>31.9</v>
      </c>
      <c r="AA28" s="109">
        <v>2000</v>
      </c>
      <c r="AB28" s="232" t="s">
        <v>228</v>
      </c>
      <c r="AC28" s="108">
        <v>34.74</v>
      </c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</row>
    <row r="29" spans="1:104" s="98" customFormat="1" ht="19.95" customHeight="1" thickBot="1" x14ac:dyDescent="0.3">
      <c r="A29" s="100"/>
      <c r="B29" s="449"/>
      <c r="C29" s="449"/>
      <c r="D29" s="449"/>
      <c r="E29" s="449"/>
      <c r="F29" s="449"/>
      <c r="G29" s="394" t="s">
        <v>29</v>
      </c>
      <c r="H29" s="395"/>
      <c r="I29" s="395"/>
      <c r="J29" s="396"/>
      <c r="K29" s="61">
        <v>0</v>
      </c>
      <c r="L29" s="110" t="s">
        <v>190</v>
      </c>
      <c r="M29" s="110" t="s">
        <v>191</v>
      </c>
      <c r="N29" s="110" t="s">
        <v>187</v>
      </c>
      <c r="O29" s="110" t="s">
        <v>186</v>
      </c>
      <c r="P29" s="110" t="s">
        <v>98</v>
      </c>
      <c r="Q29" s="108">
        <v>2500</v>
      </c>
      <c r="R29" s="229" t="s">
        <v>169</v>
      </c>
      <c r="S29" s="108">
        <f>Q29*Foglio1!$G$22/1000</f>
        <v>40.149000000000001</v>
      </c>
      <c r="T29" s="109">
        <v>2500</v>
      </c>
      <c r="U29" s="232" t="s">
        <v>177</v>
      </c>
      <c r="V29" s="108">
        <f>T29*Foglio1!$G$23/1000</f>
        <v>44.901000000000003</v>
      </c>
      <c r="W29" s="107"/>
      <c r="X29" s="108">
        <v>2500</v>
      </c>
      <c r="Y29" s="229" t="s">
        <v>222</v>
      </c>
      <c r="Z29" s="108">
        <v>39.869999999999997</v>
      </c>
      <c r="AA29" s="109">
        <v>2500</v>
      </c>
      <c r="AB29" s="232" t="s">
        <v>229</v>
      </c>
      <c r="AC29" s="108">
        <v>43.43</v>
      </c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</row>
    <row r="30" spans="1:104" s="98" customFormat="1" ht="19.95" customHeight="1" x14ac:dyDescent="0.25">
      <c r="A30" s="100"/>
      <c r="B30" s="451" t="s">
        <v>48</v>
      </c>
      <c r="C30" s="452"/>
      <c r="D30" s="440">
        <f>MODULO!$O$15</f>
        <v>0</v>
      </c>
      <c r="E30" s="441"/>
      <c r="F30" s="442"/>
      <c r="G30" s="453" t="s">
        <v>30</v>
      </c>
      <c r="H30" s="454"/>
      <c r="I30" s="454"/>
      <c r="J30" s="242" t="str">
        <f>IF(MODULO!$O$41="SI",MODULO!$O$19&amp;" PZ","NO")</f>
        <v>NO</v>
      </c>
      <c r="K30" s="243" t="str">
        <f>IF(MODULO!$O$41="SI","L "&amp;MODULO!$AG$19&amp;" mm","")</f>
        <v/>
      </c>
      <c r="L30" s="114" t="str">
        <f>IF(K30&lt;&gt;"","PS48C","")</f>
        <v/>
      </c>
      <c r="M30" s="111"/>
      <c r="N30" s="112">
        <f>IF($L$30&lt;&gt;"",MODULO!$O$19*$K$25/1000,0)</f>
        <v>0</v>
      </c>
      <c r="O30" s="112">
        <f>Foglio1!$G$14</f>
        <v>6.6959999999999997</v>
      </c>
      <c r="P30" s="113">
        <f>O30*N30</f>
        <v>0</v>
      </c>
      <c r="Q30" s="108">
        <v>3000</v>
      </c>
      <c r="R30" s="229" t="s">
        <v>171</v>
      </c>
      <c r="S30" s="108">
        <f>Q30*Foglio1!$G$22/1000</f>
        <v>48.178799999999995</v>
      </c>
      <c r="T30" s="109">
        <v>3000</v>
      </c>
      <c r="U30" s="232" t="s">
        <v>178</v>
      </c>
      <c r="V30" s="108">
        <f>T30*Foglio1!$G$23/1000</f>
        <v>53.8812</v>
      </c>
      <c r="W30" s="107"/>
      <c r="X30" s="108">
        <v>3000</v>
      </c>
      <c r="Y30" s="229" t="s">
        <v>223</v>
      </c>
      <c r="Z30" s="108">
        <v>47.84</v>
      </c>
      <c r="AA30" s="109">
        <v>3000</v>
      </c>
      <c r="AB30" s="232" t="s">
        <v>230</v>
      </c>
      <c r="AC30" s="108">
        <v>52.11</v>
      </c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</row>
    <row r="31" spans="1:104" s="98" customFormat="1" ht="19.95" customHeight="1" x14ac:dyDescent="0.25">
      <c r="A31" s="100"/>
      <c r="B31" s="443" t="s">
        <v>113</v>
      </c>
      <c r="C31" s="444"/>
      <c r="D31" s="62">
        <f>MODULO!$O$17</f>
        <v>0</v>
      </c>
      <c r="E31" s="63" t="s">
        <v>202</v>
      </c>
      <c r="F31" s="64">
        <f>MODULO!$W$17</f>
        <v>0</v>
      </c>
      <c r="G31" s="244" t="s">
        <v>127</v>
      </c>
      <c r="H31" s="245">
        <f>MODULO!O19</f>
        <v>0</v>
      </c>
      <c r="I31" s="463" t="str">
        <f>IF(AND(MODULO!$O$39="NO",MODULO!$O$25=2),"SET CARRELLI PS48 A 2 ANTE NO SOFT",IF(AND(MODULO!$O$39="NO",MODULO!$O$25=3,MODULO!$O$27="SX"),"SET CARRELLI PS48 A 3 ANTE / SX NO SOFT",IF(AND(MODULO!$O$39="NO",MODULO!$O$25=3,MODULO!$O$27="DX"),"SET CARRELLI PS48 A 3 ANTE / DX NO SOFT",IF(AND(MODULO!$O$39="SI",MODULO!$O$25=2),"SET CARRELLI PS48 A 2 ANTE C/SOFT",IF(AND(MODULO!$O$39="SI",MODULO!$O$25=3,MODULO!$O$27="SX"),"SET CARRELLI PS48 A 3 ANTE / SX C/SOFT",IF(AND(MODULO!$O$39="SI",MODULO!$O$25=3,MODULO!$O$27="DX"),"SET CARRELLI PS48 A 3 ANTE / DX C/SOFT","NO"))))))</f>
        <v>NO</v>
      </c>
      <c r="J31" s="463"/>
      <c r="K31" s="464"/>
      <c r="L31" s="114" t="str">
        <f>IF(MODULO!$O$25=2,"PS482",IF(MODULO!$O$25=3,"PS483",""))</f>
        <v/>
      </c>
      <c r="M31" s="114"/>
      <c r="N31" s="112">
        <f>MODULO!$O$19</f>
        <v>0</v>
      </c>
      <c r="O31" s="112" t="b">
        <f>IF(L31="PS482",Foglio1!$G$17,IF(L31="PS483",Foglio1!$G$18))</f>
        <v>0</v>
      </c>
      <c r="P31" s="113">
        <f>O31*N31</f>
        <v>0</v>
      </c>
      <c r="Q31" s="108">
        <v>3500</v>
      </c>
      <c r="R31" s="229" t="s">
        <v>172</v>
      </c>
      <c r="S31" s="108">
        <f>Q31*Foglio1!$G$22/1000</f>
        <v>56.208599999999997</v>
      </c>
      <c r="T31" s="109">
        <v>3500</v>
      </c>
      <c r="U31" s="232" t="s">
        <v>179</v>
      </c>
      <c r="V31" s="108">
        <f>T31*Foglio1!$G$23/1000</f>
        <v>62.861400000000003</v>
      </c>
      <c r="W31" s="107"/>
      <c r="X31" s="108">
        <v>3500</v>
      </c>
      <c r="Y31" s="229" t="s">
        <v>224</v>
      </c>
      <c r="Z31" s="108">
        <v>55.82</v>
      </c>
      <c r="AA31" s="109">
        <v>3500</v>
      </c>
      <c r="AB31" s="232" t="s">
        <v>231</v>
      </c>
      <c r="AC31" s="108">
        <v>60.8</v>
      </c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</row>
    <row r="32" spans="1:104" s="98" customFormat="1" ht="19.95" customHeight="1" x14ac:dyDescent="0.25">
      <c r="A32" s="100"/>
      <c r="B32" s="443" t="s">
        <v>114</v>
      </c>
      <c r="C32" s="444"/>
      <c r="D32" s="62">
        <f>MODULO!$O$17</f>
        <v>0</v>
      </c>
      <c r="E32" s="63" t="s">
        <v>202</v>
      </c>
      <c r="F32" s="64">
        <f>MODULO!$W$17</f>
        <v>0</v>
      </c>
      <c r="G32" s="390"/>
      <c r="H32" s="391"/>
      <c r="I32" s="391"/>
      <c r="J32" s="65" t="s">
        <v>118</v>
      </c>
      <c r="K32" s="246" t="s">
        <v>119</v>
      </c>
      <c r="L32" s="115" t="str">
        <f>IF(AND(MODULO!$O$39="SI",MODULO!$O$25=2),"PS48AMM2",IF(AND(MODULO!$O$39="SI",MODULO!$O$25=3),"PS48AMM3",""))</f>
        <v/>
      </c>
      <c r="M32" s="115"/>
      <c r="N32" s="116">
        <f>MODULO!$O$19</f>
        <v>0</v>
      </c>
      <c r="O32" s="116" t="b">
        <f>IF(L32="PS48AMM2",Foglio1!$G$19,IF(L32="PS48AMM3",Foglio1!$G$20))</f>
        <v>0</v>
      </c>
      <c r="P32" s="117">
        <f>O32*N32</f>
        <v>0</v>
      </c>
      <c r="Q32" s="108">
        <v>4000</v>
      </c>
      <c r="R32" s="229" t="s">
        <v>173</v>
      </c>
      <c r="S32" s="108">
        <f>Q32*Foglio1!$G$22/1000</f>
        <v>64.238399999999999</v>
      </c>
      <c r="T32" s="109">
        <v>4000</v>
      </c>
      <c r="U32" s="232" t="s">
        <v>180</v>
      </c>
      <c r="V32" s="108">
        <f>T32*Foglio1!$G$23/1000</f>
        <v>71.8416</v>
      </c>
      <c r="W32" s="107"/>
      <c r="X32" s="108">
        <v>4000</v>
      </c>
      <c r="Y32" s="229" t="s">
        <v>225</v>
      </c>
      <c r="Z32" s="108">
        <v>63.8</v>
      </c>
      <c r="AA32" s="109">
        <v>4000</v>
      </c>
      <c r="AB32" s="232" t="s">
        <v>232</v>
      </c>
      <c r="AC32" s="108">
        <v>69.48</v>
      </c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</row>
    <row r="33" spans="1:104" s="98" customFormat="1" ht="19.95" customHeight="1" thickBot="1" x14ac:dyDescent="0.3">
      <c r="A33" s="100"/>
      <c r="B33" s="247" t="s">
        <v>59</v>
      </c>
      <c r="C33" s="445">
        <f>MODULO!$O$13</f>
        <v>0</v>
      </c>
      <c r="D33" s="446"/>
      <c r="E33" s="446"/>
      <c r="F33" s="446"/>
      <c r="G33" s="392" t="s">
        <v>120</v>
      </c>
      <c r="H33" s="393"/>
      <c r="I33" s="393"/>
      <c r="J33" s="248">
        <f>((($I$45*0.000924)*2)+(($I$52*0.000437)*$K$27)+($I$90*0.001082)+($I$82*0.000649)+((($H$101*$H$102)*0.0000096)*($K$27+1)))+1</f>
        <v>0.97077760000000002</v>
      </c>
      <c r="K33" s="249">
        <f>((($I$45*0.000924)*2)+(($I$52*0.000437)*$K$27)+($I$90*0.001082)+($I$82*0.000649)+((($H$104*$H$105)*0.0000059)*($K$27+1)))+1</f>
        <v>0.97055000000000002</v>
      </c>
      <c r="L33" s="241">
        <f>IF(AND($D$31&gt;0,D30="ALLUMINIO"),VLOOKUP($D$31+499,$Q$27:$R$33,2,TRUE),IF(AND($D$31&gt;0,D30="METAL GREY"),VLOOKUP($D$31+499,X27:Y33,2,TRUE),0))</f>
        <v>0</v>
      </c>
      <c r="M33" s="119" t="s">
        <v>188</v>
      </c>
      <c r="N33" s="112">
        <f>F31</f>
        <v>0</v>
      </c>
      <c r="O33" s="120">
        <f>IF(AND($L$33&gt;0,D30="ALLUMINIO"),VLOOKUP($L$33,$R$27:$S$33,2,FALSE),IF(AND($L$33&gt;0,D30="METAL GREY"),VLOOKUP($L$33,Y27:Z33,2,FALSE),0))</f>
        <v>0</v>
      </c>
      <c r="P33" s="121">
        <f>$O$33*$F$31</f>
        <v>0</v>
      </c>
      <c r="Q33" s="122">
        <v>6100</v>
      </c>
      <c r="R33" s="230" t="s">
        <v>174</v>
      </c>
      <c r="S33" s="123">
        <f>Q33*Foglio1!$G$22/1000</f>
        <v>97.963560000000001</v>
      </c>
      <c r="T33" s="122">
        <v>6100</v>
      </c>
      <c r="U33" s="233" t="s">
        <v>181</v>
      </c>
      <c r="V33" s="123">
        <f>T33*Foglio1!$G$23/1000</f>
        <v>109.55844</v>
      </c>
      <c r="W33" s="107"/>
      <c r="X33" s="122">
        <v>6100</v>
      </c>
      <c r="Y33" s="230" t="s">
        <v>226</v>
      </c>
      <c r="Z33" s="123">
        <v>97.28</v>
      </c>
      <c r="AA33" s="122">
        <v>6100</v>
      </c>
      <c r="AB33" s="233" t="s">
        <v>233</v>
      </c>
      <c r="AC33" s="123">
        <v>105.96</v>
      </c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</row>
    <row r="34" spans="1:104" s="98" customFormat="1" ht="15.75" customHeight="1" x14ac:dyDescent="0.25">
      <c r="A34" s="100"/>
      <c r="B34" s="55"/>
      <c r="C34" s="55"/>
      <c r="D34" s="404"/>
      <c r="E34" s="404"/>
      <c r="F34" s="404"/>
      <c r="G34" s="404"/>
      <c r="H34" s="404"/>
      <c r="I34" s="404"/>
      <c r="J34" s="404"/>
      <c r="K34" s="404"/>
      <c r="L34" s="124">
        <f>IF(AND(D32&gt;0,D30="ALLUMINIO"),VLOOKUP($D$32+499,$T$27:$U$33,2,TRUE),IF(AND(D32&gt;0,D30="METAL GREY"),VLOOKUP($D$32+499,AA27:AB33,2,TRUE),0))</f>
        <v>0</v>
      </c>
      <c r="M34" s="125" t="s">
        <v>189</v>
      </c>
      <c r="N34" s="116">
        <f>F32</f>
        <v>0</v>
      </c>
      <c r="O34" s="126">
        <f>IF(AND(L34&gt;0,D30="ALLUMINIO"),VLOOKUP($L$34,$U$27:$V$33,2,FALSE),IF(AND(L34&gt;0,D30="METAL GREY"),VLOOKUP($L$34,AB27:AC33,2,FALSE),0))</f>
        <v>0</v>
      </c>
      <c r="P34" s="127">
        <f>$O$34*$F$32</f>
        <v>0</v>
      </c>
      <c r="Q34" s="92"/>
      <c r="R34" s="128" t="s">
        <v>80</v>
      </c>
      <c r="S34" s="227" t="s">
        <v>104</v>
      </c>
      <c r="T34" s="92"/>
      <c r="U34" s="92"/>
      <c r="V34" s="92"/>
      <c r="W34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</row>
    <row r="35" spans="1:104" s="98" customFormat="1" ht="15.75" customHeight="1" x14ac:dyDescent="0.25">
      <c r="A35" s="100"/>
      <c r="B35" s="432" t="str">
        <f>IF(MODULO!$O$19&gt;1,"SONO N°","")</f>
        <v/>
      </c>
      <c r="C35" s="429" t="str">
        <f>IF(MODULO!$O$19&gt;1,MODULO!$O$19,"")</f>
        <v/>
      </c>
      <c r="D35" s="426" t="str">
        <f>IF(MODULO!$S$19="SPECULARI","COMPOSIZIONI SPECULARI (TIENINE CONTO QUANDO MONTI LE ANTE)",IF(MODULO!$O$19&gt;1,"COMPOSIZIONI UGUALI (TIENINE CONTO QUANDO MONTI LE ANTE)",""))</f>
        <v/>
      </c>
      <c r="E35" s="426"/>
      <c r="F35" s="426"/>
      <c r="G35" s="426"/>
      <c r="H35" s="426"/>
      <c r="I35" s="426"/>
      <c r="J35" s="426"/>
      <c r="K35" s="435"/>
      <c r="L35" s="129"/>
      <c r="M35" s="130"/>
      <c r="N35" s="116"/>
      <c r="O35" s="126"/>
      <c r="P35" s="131"/>
      <c r="Q35" s="68"/>
      <c r="R35" s="132"/>
      <c r="S35" s="133">
        <v>4</v>
      </c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</row>
    <row r="36" spans="1:104" s="98" customFormat="1" ht="15.75" customHeight="1" x14ac:dyDescent="0.55000000000000004">
      <c r="A36" s="100"/>
      <c r="B36" s="433"/>
      <c r="C36" s="430"/>
      <c r="D36" s="427"/>
      <c r="E36" s="427"/>
      <c r="F36" s="427"/>
      <c r="G36" s="427"/>
      <c r="H36" s="427"/>
      <c r="I36" s="427"/>
      <c r="J36" s="427"/>
      <c r="K36" s="436"/>
      <c r="L36" s="134"/>
      <c r="N36" s="67" t="s">
        <v>184</v>
      </c>
      <c r="O36" s="135" t="s">
        <v>88</v>
      </c>
      <c r="P36" s="136" t="s">
        <v>185</v>
      </c>
      <c r="Q36" s="10"/>
      <c r="R36" s="137" t="s">
        <v>81</v>
      </c>
      <c r="S36" s="138">
        <v>39.659999999999997</v>
      </c>
      <c r="T36" s="92"/>
      <c r="U36" s="139" t="s">
        <v>106</v>
      </c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</row>
    <row r="37" spans="1:104" s="98" customFormat="1" ht="15.75" customHeight="1" x14ac:dyDescent="0.25">
      <c r="A37" s="100"/>
      <c r="B37" s="434"/>
      <c r="C37" s="431"/>
      <c r="D37" s="428"/>
      <c r="E37" s="428"/>
      <c r="F37" s="428"/>
      <c r="G37" s="428"/>
      <c r="H37" s="428"/>
      <c r="I37" s="428"/>
      <c r="J37" s="428"/>
      <c r="K37" s="437"/>
      <c r="L37" s="99"/>
      <c r="M37" s="1"/>
      <c r="N37" s="140">
        <f>IF($C$33&lt;&gt;"NO VETRO",SUM(($H$101*$H$102*$J$101)/1000000),0)</f>
        <v>0</v>
      </c>
      <c r="O37" s="141">
        <f>IF(C33&gt;0,VLOOKUP($C$33,$R$36:$S$55,2,FALSE),0)</f>
        <v>0</v>
      </c>
      <c r="P37" s="142">
        <f>N37*O37</f>
        <v>0</v>
      </c>
      <c r="Q37" s="143"/>
      <c r="R37" s="137" t="s">
        <v>82</v>
      </c>
      <c r="S37" s="144">
        <v>50.76</v>
      </c>
      <c r="T37" s="92"/>
      <c r="U37" s="139" t="s">
        <v>107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</row>
    <row r="38" spans="1:104" ht="3" customHeight="1" x14ac:dyDescent="0.25">
      <c r="A38" s="100"/>
      <c r="B38" s="66"/>
      <c r="C38" s="66"/>
      <c r="D38" s="385" t="str">
        <f>IF(D35&lt;&gt;"","","")</f>
        <v/>
      </c>
      <c r="E38" s="385"/>
      <c r="F38" s="385"/>
      <c r="G38" s="385"/>
      <c r="H38" s="385"/>
      <c r="I38" s="385"/>
      <c r="J38" s="385"/>
      <c r="K38" s="55"/>
      <c r="L38" s="145"/>
      <c r="M38" s="1"/>
      <c r="N38" s="68"/>
      <c r="O38" s="68"/>
      <c r="P38" s="99"/>
      <c r="Q38" s="146"/>
      <c r="R38" s="137" t="s">
        <v>83</v>
      </c>
      <c r="S38" s="144">
        <v>114.21</v>
      </c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</row>
    <row r="39" spans="1:104" s="69" customFormat="1" ht="3" customHeight="1" x14ac:dyDescent="0.25">
      <c r="A39" s="100"/>
      <c r="B39" s="457"/>
      <c r="C39" s="458"/>
      <c r="D39" s="458"/>
      <c r="E39" s="458"/>
      <c r="F39" s="458"/>
      <c r="G39" s="458"/>
      <c r="H39" s="458"/>
      <c r="I39" s="458"/>
      <c r="J39" s="458"/>
      <c r="K39" s="458"/>
      <c r="L39" s="145"/>
      <c r="M39" s="83"/>
      <c r="N39" s="68"/>
      <c r="O39" s="68"/>
      <c r="P39" s="99"/>
      <c r="Q39" s="98"/>
      <c r="R39" s="137" t="s">
        <v>84</v>
      </c>
      <c r="S39" s="144">
        <v>98.34</v>
      </c>
      <c r="T39" s="92"/>
      <c r="U39" s="147">
        <v>2</v>
      </c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</row>
    <row r="40" spans="1:104" s="69" customFormat="1" ht="3" customHeight="1" x14ac:dyDescent="0.25">
      <c r="A40" s="100"/>
      <c r="B40" s="459"/>
      <c r="C40" s="460"/>
      <c r="D40" s="460"/>
      <c r="E40" s="460"/>
      <c r="F40" s="460"/>
      <c r="G40" s="460"/>
      <c r="H40" s="460"/>
      <c r="I40" s="460"/>
      <c r="J40" s="460"/>
      <c r="K40" s="460"/>
      <c r="L40" s="84"/>
      <c r="M40" s="98"/>
      <c r="N40" s="99"/>
      <c r="O40" s="99"/>
      <c r="P40" s="99"/>
      <c r="Q40" s="100"/>
      <c r="R40" s="137" t="s">
        <v>85</v>
      </c>
      <c r="S40" s="144">
        <v>80.900000000000006</v>
      </c>
      <c r="T40" s="92"/>
      <c r="U40" s="147">
        <v>3</v>
      </c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</row>
    <row r="41" spans="1:104" s="69" customFormat="1" ht="3" customHeight="1" x14ac:dyDescent="0.25">
      <c r="A41" s="100"/>
      <c r="B41" s="461"/>
      <c r="C41" s="462"/>
      <c r="D41" s="462"/>
      <c r="E41" s="462"/>
      <c r="F41" s="462"/>
      <c r="G41" s="462"/>
      <c r="H41" s="462"/>
      <c r="I41" s="462"/>
      <c r="J41" s="462"/>
      <c r="K41" s="462"/>
      <c r="L41" s="84"/>
      <c r="M41" s="98"/>
      <c r="N41" s="68"/>
      <c r="O41" s="68"/>
      <c r="P41" s="99"/>
      <c r="Q41" s="100"/>
      <c r="R41" s="137" t="s">
        <v>86</v>
      </c>
      <c r="S41" s="144">
        <v>80.900000000000006</v>
      </c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</row>
    <row r="42" spans="1:104" s="69" customFormat="1" ht="3" customHeight="1" x14ac:dyDescent="0.25">
      <c r="A42" s="100"/>
      <c r="B42" s="67"/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98"/>
      <c r="N42" s="56"/>
      <c r="O42" s="98"/>
      <c r="P42" s="98"/>
      <c r="Q42" s="100"/>
      <c r="R42" s="137" t="s">
        <v>87</v>
      </c>
      <c r="S42" s="144">
        <v>120.26</v>
      </c>
      <c r="T42" s="92"/>
      <c r="U42" s="139" t="s">
        <v>56</v>
      </c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</row>
    <row r="43" spans="1:104" s="69" customFormat="1" ht="15.75" customHeight="1" x14ac:dyDescent="0.25">
      <c r="A43" s="100"/>
      <c r="B43" s="401" t="s">
        <v>7</v>
      </c>
      <c r="C43" s="401"/>
      <c r="D43" s="401"/>
      <c r="E43" s="401" t="s">
        <v>8</v>
      </c>
      <c r="F43" s="401"/>
      <c r="G43" s="401"/>
      <c r="H43" s="401" t="s">
        <v>239</v>
      </c>
      <c r="I43" s="397" t="s">
        <v>11</v>
      </c>
      <c r="J43" s="401" t="s">
        <v>9</v>
      </c>
      <c r="K43" s="401" t="s">
        <v>10</v>
      </c>
      <c r="L43" s="438" t="s">
        <v>97</v>
      </c>
      <c r="M43" s="388"/>
      <c r="N43" s="439"/>
      <c r="O43" s="148"/>
      <c r="Q43" s="100"/>
      <c r="R43" s="137" t="s">
        <v>89</v>
      </c>
      <c r="S43" s="144">
        <v>150.69</v>
      </c>
      <c r="T43" s="92"/>
      <c r="U43" s="139" t="s">
        <v>108</v>
      </c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</row>
    <row r="44" spans="1:104" s="69" customFormat="1" ht="15.75" customHeight="1" x14ac:dyDescent="0.25">
      <c r="A44" s="92"/>
      <c r="B44" s="401"/>
      <c r="C44" s="401"/>
      <c r="D44" s="401"/>
      <c r="E44" s="401"/>
      <c r="F44" s="401"/>
      <c r="G44" s="401"/>
      <c r="H44" s="401"/>
      <c r="I44" s="397"/>
      <c r="J44" s="401"/>
      <c r="K44" s="401"/>
      <c r="L44" s="149" t="s">
        <v>199</v>
      </c>
      <c r="M44" s="149" t="s">
        <v>99</v>
      </c>
      <c r="N44" s="149" t="s">
        <v>100</v>
      </c>
      <c r="O44" s="150" t="s">
        <v>98</v>
      </c>
      <c r="P44" s="99"/>
      <c r="Q44" s="100"/>
      <c r="R44" s="137" t="s">
        <v>90</v>
      </c>
      <c r="S44" s="144">
        <v>51.91</v>
      </c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</row>
    <row r="45" spans="1:104" s="69" customFormat="1" ht="15.75" customHeight="1" x14ac:dyDescent="0.25">
      <c r="A45" s="148"/>
      <c r="B45" s="405" t="s">
        <v>33</v>
      </c>
      <c r="C45" s="404"/>
      <c r="D45" s="404"/>
      <c r="E45" s="404" t="s">
        <v>12</v>
      </c>
      <c r="F45" s="404"/>
      <c r="G45" s="404"/>
      <c r="H45" s="68">
        <f>MODULO!$O$25*MODULO!$O$19*2</f>
        <v>0</v>
      </c>
      <c r="I45" s="68">
        <f>K25-16</f>
        <v>-16</v>
      </c>
      <c r="J45" s="68">
        <f>INT(H45/K45)+1</f>
        <v>1</v>
      </c>
      <c r="K45" s="68">
        <f>INT(6300/(I45+4.5))</f>
        <v>-548</v>
      </c>
      <c r="L45" s="87"/>
      <c r="M45" s="87">
        <f>Foglio1!$G$11*H45*I45/1000</f>
        <v>0</v>
      </c>
      <c r="N45" s="151">
        <f>IF(MODULO!$O$15="ALLUMINIO",Foglio1!$G$6*H45*I45/1000,Foglio1!$I$6*H45*I45/1000)</f>
        <v>0</v>
      </c>
      <c r="O45" s="152">
        <f>SUM(M45:N45)</f>
        <v>0</v>
      </c>
      <c r="P45" s="99"/>
      <c r="Q45" s="100"/>
      <c r="R45" s="137" t="s">
        <v>91</v>
      </c>
      <c r="S45" s="144">
        <v>51.91</v>
      </c>
      <c r="T45" s="92"/>
      <c r="U45" s="139" t="s">
        <v>57</v>
      </c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</row>
    <row r="46" spans="1:104" s="69" customFormat="1" ht="15.75" customHeight="1" x14ac:dyDescent="0.25">
      <c r="A46" s="148"/>
      <c r="E46" s="388"/>
      <c r="F46" s="388"/>
      <c r="G46" s="388"/>
      <c r="N46" s="56"/>
      <c r="O46" s="98"/>
      <c r="P46" s="98"/>
      <c r="Q46" s="100"/>
      <c r="R46" s="137" t="s">
        <v>92</v>
      </c>
      <c r="S46" s="144">
        <v>95.17</v>
      </c>
      <c r="T46" s="92"/>
      <c r="U46" s="139" t="s">
        <v>109</v>
      </c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</row>
    <row r="47" spans="1:104" s="69" customFormat="1" ht="15.75" customHeight="1" x14ac:dyDescent="0.25">
      <c r="A47" s="148"/>
      <c r="E47" s="388"/>
      <c r="F47" s="388"/>
      <c r="G47" s="388"/>
      <c r="M47" s="148"/>
      <c r="N47" s="388"/>
      <c r="O47" s="388"/>
      <c r="Q47" s="100"/>
      <c r="R47" s="137" t="s">
        <v>93</v>
      </c>
      <c r="S47" s="144">
        <v>95.17</v>
      </c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</row>
    <row r="48" spans="1:104" s="69" customFormat="1" ht="15.75" customHeight="1" x14ac:dyDescent="0.25">
      <c r="A48" s="148"/>
      <c r="E48" s="388"/>
      <c r="F48" s="388"/>
      <c r="G48" s="388"/>
      <c r="M48" s="148"/>
      <c r="N48" s="99"/>
      <c r="O48" s="99"/>
      <c r="P48" s="99"/>
      <c r="Q48" s="100"/>
      <c r="R48" s="137" t="s">
        <v>94</v>
      </c>
      <c r="S48" s="144">
        <v>113.2</v>
      </c>
      <c r="T48" s="92"/>
      <c r="U48" s="139" t="s">
        <v>50</v>
      </c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</row>
    <row r="49" spans="1:104" s="69" customFormat="1" ht="15.75" customHeight="1" x14ac:dyDescent="0.25">
      <c r="A49" s="148"/>
      <c r="E49" s="388"/>
      <c r="F49" s="388"/>
      <c r="G49" s="388"/>
      <c r="M49" s="148"/>
      <c r="N49" s="68"/>
      <c r="P49" s="153"/>
      <c r="Q49" s="100"/>
      <c r="R49" s="137" t="s">
        <v>95</v>
      </c>
      <c r="S49" s="144">
        <v>113.2</v>
      </c>
      <c r="T49" s="92"/>
      <c r="U49" s="139" t="s">
        <v>110</v>
      </c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</row>
    <row r="50" spans="1:104" s="69" customFormat="1" ht="15.75" customHeight="1" x14ac:dyDescent="0.25">
      <c r="A50" s="148"/>
      <c r="B50" s="401" t="s">
        <v>7</v>
      </c>
      <c r="C50" s="401"/>
      <c r="D50" s="401"/>
      <c r="E50" s="401" t="s">
        <v>8</v>
      </c>
      <c r="F50" s="401"/>
      <c r="G50" s="401"/>
      <c r="H50" s="401" t="s">
        <v>239</v>
      </c>
      <c r="I50" s="397" t="s">
        <v>11</v>
      </c>
      <c r="J50" s="401" t="s">
        <v>9</v>
      </c>
      <c r="K50" s="401" t="s">
        <v>10</v>
      </c>
      <c r="L50" s="89"/>
      <c r="M50" s="148"/>
      <c r="N50" s="154"/>
      <c r="O50" s="155"/>
      <c r="P50" s="68"/>
      <c r="Q50" s="100"/>
      <c r="R50" s="137" t="s">
        <v>96</v>
      </c>
      <c r="S50" s="144">
        <v>59.84</v>
      </c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</row>
    <row r="51" spans="1:104" s="69" customFormat="1" ht="15.75" customHeight="1" x14ac:dyDescent="0.25">
      <c r="A51" s="148"/>
      <c r="B51" s="401"/>
      <c r="C51" s="401"/>
      <c r="D51" s="401"/>
      <c r="E51" s="401"/>
      <c r="F51" s="401"/>
      <c r="G51" s="401"/>
      <c r="H51" s="401"/>
      <c r="I51" s="397"/>
      <c r="J51" s="401"/>
      <c r="K51" s="401"/>
      <c r="L51" s="89"/>
      <c r="M51" s="148"/>
      <c r="N51" s="59"/>
      <c r="O51" s="100"/>
      <c r="P51" s="98"/>
      <c r="Q51" s="100"/>
      <c r="R51" s="137" t="s">
        <v>105</v>
      </c>
      <c r="S51" s="144">
        <v>116.51</v>
      </c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</row>
    <row r="52" spans="1:104" s="69" customFormat="1" ht="15.75" customHeight="1" thickBot="1" x14ac:dyDescent="0.3">
      <c r="A52" s="148"/>
      <c r="B52" s="405" t="s">
        <v>32</v>
      </c>
      <c r="C52" s="404"/>
      <c r="D52" s="404"/>
      <c r="E52" s="405" t="s">
        <v>35</v>
      </c>
      <c r="F52" s="404"/>
      <c r="G52" s="404"/>
      <c r="H52" s="68">
        <f>$K$27*$H$45/2</f>
        <v>0</v>
      </c>
      <c r="I52" s="68">
        <f>IF(AND(K27=1),I45*1,IF(AND(K27=0),I45-I45,IF(AND(K27=2),I45*1,IF(AND(K27=3),I45*1,IF(AND(K27=4),I45*1,IF(AND(K27=5),I45*1,0))))))</f>
        <v>0</v>
      </c>
      <c r="J52" s="68">
        <f>INT(H52/K52)+1</f>
        <v>1</v>
      </c>
      <c r="K52" s="68">
        <f>INT(6300/(I52+4.5))</f>
        <v>1400</v>
      </c>
      <c r="L52" s="87"/>
      <c r="M52" s="87">
        <f>Foglio1!$G$11*$H$52*$I$52/1000*2</f>
        <v>0</v>
      </c>
      <c r="N52" s="151">
        <f>IF(MODULO!$O$15="ALLUMINIO",Foglio1!$G$7*H52*I52/1000,Foglio1!$I$7*H52*I52/1000)</f>
        <v>0</v>
      </c>
      <c r="O52" s="156">
        <f>SUM(M52:N52)</f>
        <v>0</v>
      </c>
      <c r="P52" s="153"/>
      <c r="Q52" s="100"/>
      <c r="R52" s="159" t="s">
        <v>217</v>
      </c>
      <c r="S52" s="160">
        <v>0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</row>
    <row r="53" spans="1:104" s="69" customFormat="1" ht="15.75" customHeight="1" thickBot="1" x14ac:dyDescent="0.3">
      <c r="A53" s="148"/>
      <c r="E53" s="388"/>
      <c r="F53" s="388"/>
      <c r="G53" s="388"/>
      <c r="L53" s="157" t="s">
        <v>153</v>
      </c>
      <c r="M53" s="158" t="s">
        <v>154</v>
      </c>
      <c r="N53" s="99"/>
      <c r="O53" s="153">
        <f>H52*Foglio1!$G$10</f>
        <v>0</v>
      </c>
      <c r="P53" s="99"/>
      <c r="Q53" s="92"/>
      <c r="R53" s="159" t="s">
        <v>216</v>
      </c>
      <c r="S53" s="160">
        <v>0</v>
      </c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</row>
    <row r="54" spans="1:104" s="69" customFormat="1" ht="15.75" customHeight="1" x14ac:dyDescent="0.25">
      <c r="A54" s="148"/>
      <c r="E54" s="388"/>
      <c r="F54" s="388"/>
      <c r="G54" s="388"/>
      <c r="M54" s="148"/>
      <c r="N54" s="68"/>
      <c r="O54" s="68"/>
      <c r="P54" s="99"/>
      <c r="Q54" s="148"/>
      <c r="R54" s="137" t="s">
        <v>125</v>
      </c>
      <c r="S54" s="144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</row>
    <row r="55" spans="1:104" s="69" customFormat="1" ht="15.75" customHeight="1" x14ac:dyDescent="0.25">
      <c r="A55" s="148"/>
      <c r="E55" s="388"/>
      <c r="F55" s="388"/>
      <c r="G55" s="388"/>
      <c r="M55" s="148"/>
      <c r="N55" s="99"/>
      <c r="O55" s="153"/>
      <c r="Q55" s="148"/>
      <c r="R55" s="137" t="s">
        <v>126</v>
      </c>
      <c r="S55" s="144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</row>
    <row r="56" spans="1:104" s="69" customFormat="1" ht="15.75" customHeight="1" x14ac:dyDescent="0.25">
      <c r="A56" s="148"/>
      <c r="E56" s="388"/>
      <c r="F56" s="388"/>
      <c r="G56" s="388"/>
      <c r="M56" s="148"/>
      <c r="Q56" s="148"/>
      <c r="R56" s="148"/>
      <c r="S56" s="148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</row>
    <row r="57" spans="1:104" s="69" customFormat="1" ht="15.75" customHeight="1" x14ac:dyDescent="0.25">
      <c r="A57" s="148"/>
      <c r="E57" s="85"/>
      <c r="F57" s="85"/>
      <c r="G57" s="85"/>
      <c r="M57" s="148"/>
      <c r="O57" s="148"/>
      <c r="Q57" s="148"/>
      <c r="R57" s="148"/>
      <c r="S57" s="148"/>
      <c r="T57" s="148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</row>
    <row r="58" spans="1:104" s="69" customFormat="1" ht="15.75" customHeight="1" x14ac:dyDescent="0.25">
      <c r="A58" s="148"/>
      <c r="E58" s="85"/>
      <c r="F58" s="85"/>
      <c r="G58" s="85"/>
      <c r="M58" s="148"/>
      <c r="O58" s="148"/>
      <c r="Q58" s="148"/>
      <c r="R58" s="148"/>
      <c r="S58" s="148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</row>
    <row r="59" spans="1:104" s="69" customFormat="1" ht="15.75" customHeight="1" x14ac:dyDescent="0.25">
      <c r="A59" s="148"/>
      <c r="B59" s="401" t="s">
        <v>7</v>
      </c>
      <c r="C59" s="401"/>
      <c r="D59" s="401"/>
      <c r="E59" s="401" t="s">
        <v>8</v>
      </c>
      <c r="F59" s="401"/>
      <c r="G59" s="401"/>
      <c r="H59" s="401" t="s">
        <v>239</v>
      </c>
      <c r="I59" s="397" t="s">
        <v>11</v>
      </c>
      <c r="J59" s="401" t="s">
        <v>9</v>
      </c>
      <c r="K59" s="401" t="s">
        <v>10</v>
      </c>
      <c r="L59" s="89"/>
      <c r="M59" s="148"/>
      <c r="O59" s="148"/>
      <c r="Q59" s="148"/>
      <c r="R59" s="148"/>
      <c r="S59" s="148"/>
      <c r="T59" s="148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</row>
    <row r="60" spans="1:104" s="69" customFormat="1" ht="15.75" customHeight="1" x14ac:dyDescent="0.25">
      <c r="A60" s="148"/>
      <c r="B60" s="401"/>
      <c r="C60" s="401"/>
      <c r="D60" s="401"/>
      <c r="E60" s="401"/>
      <c r="F60" s="401"/>
      <c r="G60" s="401"/>
      <c r="H60" s="401"/>
      <c r="I60" s="397"/>
      <c r="J60" s="401"/>
      <c r="K60" s="401"/>
      <c r="L60" s="89"/>
      <c r="M60" s="148"/>
      <c r="O60" s="99"/>
      <c r="Q60" s="148"/>
      <c r="R60" s="148"/>
      <c r="S60" s="148"/>
      <c r="T60" s="92"/>
      <c r="U60" s="92"/>
      <c r="V60" s="148"/>
      <c r="W60" s="148"/>
      <c r="X60" s="148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</row>
    <row r="61" spans="1:104" s="69" customFormat="1" ht="15.75" customHeight="1" x14ac:dyDescent="0.25">
      <c r="A61" s="148"/>
      <c r="B61" s="405" t="s">
        <v>31</v>
      </c>
      <c r="C61" s="404"/>
      <c r="D61" s="404"/>
      <c r="E61" s="405" t="s">
        <v>36</v>
      </c>
      <c r="F61" s="404"/>
      <c r="G61" s="404"/>
      <c r="H61" s="68">
        <f>$K$28*$H$45/2</f>
        <v>0</v>
      </c>
      <c r="I61" s="68">
        <f>IF(AND(K28=1),I45*1-24,IF(AND(K28=0),I45-I45,IF(AND(K28=2),I45*1-24,IF(AND(K28=3),I45*1-24,IF(AND(K28=4),I45*1-24,IF(AND(K28=5),I45*1-24,0))))))</f>
        <v>0</v>
      </c>
      <c r="J61" s="68">
        <f>INT(H61/K61)+1</f>
        <v>1</v>
      </c>
      <c r="K61" s="68">
        <f>INT(6300/(I61+4.5))</f>
        <v>1400</v>
      </c>
      <c r="L61" s="87"/>
      <c r="M61" s="87"/>
      <c r="N61" s="151">
        <f>IF(MODULO!$O$15="ALLUMINIO",Foglio1!$G$8*H61*I61/1000,Foglio1!$I$8*H61*I61/1000)</f>
        <v>0</v>
      </c>
      <c r="O61" s="156">
        <f>SUM(N61)</f>
        <v>0</v>
      </c>
      <c r="P61" s="153"/>
      <c r="Q61" s="148"/>
      <c r="R61" s="148"/>
      <c r="S61" s="148"/>
      <c r="T61" s="148"/>
      <c r="U61" s="148"/>
      <c r="V61" s="148"/>
      <c r="W61" s="148"/>
      <c r="X61" s="148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</row>
    <row r="62" spans="1:104" s="69" customFormat="1" ht="15.75" customHeight="1" x14ac:dyDescent="0.25">
      <c r="A62" s="148"/>
      <c r="E62" s="388"/>
      <c r="F62" s="388"/>
      <c r="G62" s="388"/>
      <c r="L62" s="157" t="s">
        <v>153</v>
      </c>
      <c r="M62" s="158" t="s">
        <v>154</v>
      </c>
      <c r="N62" s="68"/>
      <c r="O62" s="153">
        <f>H61*Foglio1!$G$10</f>
        <v>0</v>
      </c>
      <c r="P62" s="99"/>
      <c r="Q62" s="148"/>
      <c r="R62" s="148"/>
      <c r="S62" s="148"/>
      <c r="T62" s="148"/>
      <c r="U62" s="148"/>
      <c r="V62" s="148"/>
      <c r="W62" s="148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</row>
    <row r="63" spans="1:104" s="69" customFormat="1" ht="15.75" customHeight="1" x14ac:dyDescent="0.25">
      <c r="A63" s="148"/>
      <c r="E63" s="388"/>
      <c r="F63" s="388"/>
      <c r="G63" s="388"/>
      <c r="M63" s="148"/>
      <c r="N63" s="68"/>
      <c r="O63" s="153"/>
      <c r="P63" s="99"/>
      <c r="Q63" s="148"/>
      <c r="R63" s="148"/>
      <c r="S63" s="148"/>
      <c r="T63" s="148"/>
      <c r="U63" s="148"/>
      <c r="V63" s="148"/>
      <c r="W63" s="148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</row>
    <row r="64" spans="1:104" s="69" customFormat="1" ht="15.75" customHeight="1" x14ac:dyDescent="0.25">
      <c r="A64" s="148"/>
      <c r="E64" s="388"/>
      <c r="F64" s="388"/>
      <c r="G64" s="388"/>
      <c r="M64" s="148"/>
      <c r="O64" s="153"/>
      <c r="Q64" s="148"/>
      <c r="R64" s="148"/>
      <c r="S64" s="148"/>
      <c r="T64" s="148"/>
      <c r="U64" s="148"/>
      <c r="V64" s="148"/>
      <c r="W64" s="148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</row>
    <row r="65" spans="1:104" s="69" customFormat="1" ht="15.75" customHeight="1" x14ac:dyDescent="0.25">
      <c r="A65" s="148"/>
      <c r="E65" s="388"/>
      <c r="F65" s="388"/>
      <c r="G65" s="388"/>
      <c r="M65" s="148"/>
      <c r="O65" s="153"/>
      <c r="Q65" s="148"/>
      <c r="R65" s="148"/>
      <c r="S65" s="148"/>
      <c r="T65" s="148"/>
      <c r="U65" s="148"/>
      <c r="V65" s="148"/>
      <c r="W65" s="148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  <c r="CW65" s="92"/>
      <c r="CX65" s="92"/>
      <c r="CY65" s="92"/>
      <c r="CZ65" s="92"/>
    </row>
    <row r="66" spans="1:104" s="69" customFormat="1" ht="15.75" customHeight="1" x14ac:dyDescent="0.25">
      <c r="A66" s="148"/>
      <c r="B66" s="401" t="s">
        <v>7</v>
      </c>
      <c r="C66" s="401"/>
      <c r="D66" s="401"/>
      <c r="E66" s="401" t="s">
        <v>8</v>
      </c>
      <c r="F66" s="401"/>
      <c r="G66" s="401"/>
      <c r="H66" s="401" t="s">
        <v>239</v>
      </c>
      <c r="I66" s="397" t="s">
        <v>11</v>
      </c>
      <c r="J66" s="401" t="s">
        <v>9</v>
      </c>
      <c r="K66" s="401" t="s">
        <v>10</v>
      </c>
      <c r="L66" s="89"/>
      <c r="M66" s="148"/>
      <c r="O66" s="161"/>
      <c r="Q66" s="148"/>
      <c r="R66" s="148"/>
      <c r="S66" s="148"/>
      <c r="T66" s="148"/>
      <c r="U66" s="148"/>
      <c r="V66" s="148"/>
      <c r="W66" s="148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</row>
    <row r="67" spans="1:104" s="69" customFormat="1" ht="15.75" customHeight="1" x14ac:dyDescent="0.25">
      <c r="A67" s="148"/>
      <c r="B67" s="401"/>
      <c r="C67" s="401"/>
      <c r="D67" s="401"/>
      <c r="E67" s="401"/>
      <c r="F67" s="401"/>
      <c r="G67" s="401"/>
      <c r="H67" s="401"/>
      <c r="I67" s="397"/>
      <c r="J67" s="401"/>
      <c r="K67" s="401"/>
      <c r="L67" s="89"/>
      <c r="M67" s="148"/>
      <c r="O67" s="153"/>
      <c r="R67" s="148"/>
      <c r="S67" s="148"/>
      <c r="T67" s="148"/>
      <c r="U67" s="148"/>
      <c r="V67" s="148"/>
      <c r="W67" s="148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</row>
    <row r="68" spans="1:104" s="69" customFormat="1" ht="15.75" customHeight="1" x14ac:dyDescent="0.25">
      <c r="A68" s="148"/>
      <c r="B68" s="405" t="s">
        <v>34</v>
      </c>
      <c r="C68" s="404"/>
      <c r="D68" s="404"/>
      <c r="E68" s="405" t="s">
        <v>35</v>
      </c>
      <c r="F68" s="404"/>
      <c r="G68" s="404"/>
      <c r="H68" s="68">
        <f>$K$29*$H$45/2</f>
        <v>0</v>
      </c>
      <c r="I68" s="68"/>
      <c r="J68" s="68"/>
      <c r="K68" s="68"/>
      <c r="L68" s="87"/>
      <c r="M68" s="87">
        <f>Foglio1!$G$11*H68*I68/1000*2</f>
        <v>0</v>
      </c>
      <c r="N68" s="151">
        <f>IF(MODULO!$O$15="ALLUMINIO",Foglio1!$G$7*H68*I68/1000,Foglio1!$I$7*H68*I68/1000)</f>
        <v>0</v>
      </c>
      <c r="O68" s="156">
        <f>SUM(M68:N68)</f>
        <v>0</v>
      </c>
      <c r="P68" s="153"/>
      <c r="R68" s="148"/>
      <c r="S68" s="148"/>
      <c r="T68" s="148"/>
      <c r="U68" s="148"/>
      <c r="V68" s="148"/>
      <c r="W68" s="148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</row>
    <row r="69" spans="1:104" s="69" customFormat="1" ht="15.75" customHeight="1" x14ac:dyDescent="0.25">
      <c r="A69" s="148"/>
      <c r="E69" s="388"/>
      <c r="F69" s="388"/>
      <c r="G69" s="388"/>
      <c r="L69" s="157" t="s">
        <v>153</v>
      </c>
      <c r="M69" s="158" t="s">
        <v>154</v>
      </c>
      <c r="O69" s="153">
        <f>H68*Foglio1!$G$10</f>
        <v>0</v>
      </c>
      <c r="R69" s="148"/>
      <c r="S69" s="148"/>
      <c r="T69" s="148"/>
      <c r="U69" s="148"/>
      <c r="V69" s="148"/>
      <c r="W69" s="148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</row>
    <row r="70" spans="1:104" s="69" customFormat="1" ht="15.75" customHeight="1" x14ac:dyDescent="0.25">
      <c r="A70" s="148"/>
      <c r="E70" s="388"/>
      <c r="F70" s="388"/>
      <c r="G70" s="388"/>
      <c r="M70" s="148"/>
      <c r="N70" s="99"/>
      <c r="O70" s="99"/>
      <c r="P70" s="99"/>
      <c r="R70" s="148"/>
      <c r="S70" s="148"/>
      <c r="T70" s="148"/>
      <c r="U70" s="148"/>
      <c r="V70" s="148"/>
      <c r="W70" s="148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</row>
    <row r="71" spans="1:104" s="69" customFormat="1" ht="15.75" customHeight="1" x14ac:dyDescent="0.25">
      <c r="A71" s="148"/>
      <c r="E71" s="388"/>
      <c r="F71" s="388"/>
      <c r="G71" s="388"/>
      <c r="M71" s="148"/>
      <c r="N71" s="68"/>
      <c r="O71" s="153"/>
      <c r="P71" s="153"/>
      <c r="R71" s="148"/>
      <c r="S71" s="148"/>
      <c r="T71" s="148"/>
      <c r="U71" s="148"/>
      <c r="V71" s="148"/>
      <c r="W71" s="148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</row>
    <row r="72" spans="1:104" s="69" customFormat="1" ht="15.75" customHeight="1" x14ac:dyDescent="0.25">
      <c r="A72" s="148"/>
      <c r="E72" s="388"/>
      <c r="F72" s="388"/>
      <c r="G72" s="388"/>
      <c r="M72" s="148"/>
      <c r="N72" s="68"/>
      <c r="O72" s="153"/>
      <c r="P72" s="153"/>
      <c r="R72" s="148"/>
      <c r="S72" s="148"/>
      <c r="T72" s="148"/>
      <c r="U72" s="148"/>
      <c r="V72" s="148"/>
      <c r="W72" s="148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</row>
    <row r="73" spans="1:104" s="69" customFormat="1" ht="15.75" customHeight="1" x14ac:dyDescent="0.25">
      <c r="A73" s="148"/>
      <c r="B73" s="401" t="s">
        <v>7</v>
      </c>
      <c r="C73" s="401"/>
      <c r="D73" s="401"/>
      <c r="E73" s="401" t="s">
        <v>8</v>
      </c>
      <c r="F73" s="401"/>
      <c r="G73" s="401"/>
      <c r="H73" s="401" t="s">
        <v>239</v>
      </c>
      <c r="I73" s="397" t="s">
        <v>11</v>
      </c>
      <c r="J73" s="401" t="s">
        <v>9</v>
      </c>
      <c r="K73" s="401" t="s">
        <v>10</v>
      </c>
      <c r="L73" s="89"/>
      <c r="M73" s="148"/>
      <c r="N73" s="68"/>
      <c r="O73" s="153"/>
      <c r="P73" s="153"/>
      <c r="R73" s="148"/>
      <c r="S73" s="148"/>
      <c r="T73" s="148"/>
      <c r="U73" s="148"/>
      <c r="V73" s="148"/>
      <c r="W73" s="148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</row>
    <row r="74" spans="1:104" s="69" customFormat="1" ht="15.75" customHeight="1" x14ac:dyDescent="0.25">
      <c r="A74" s="148"/>
      <c r="B74" s="401"/>
      <c r="C74" s="401"/>
      <c r="D74" s="401"/>
      <c r="E74" s="401"/>
      <c r="F74" s="401"/>
      <c r="G74" s="401"/>
      <c r="H74" s="401"/>
      <c r="I74" s="397"/>
      <c r="J74" s="401"/>
      <c r="K74" s="401"/>
      <c r="L74" s="89"/>
      <c r="M74" s="148"/>
      <c r="O74" s="153"/>
      <c r="R74" s="148"/>
      <c r="S74" s="148"/>
      <c r="T74" s="148"/>
      <c r="U74" s="148"/>
      <c r="V74" s="148"/>
      <c r="W74" s="148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</row>
    <row r="75" spans="1:104" s="69" customFormat="1" ht="15.75" customHeight="1" x14ac:dyDescent="0.25">
      <c r="A75" s="148"/>
      <c r="B75" s="405" t="s">
        <v>37</v>
      </c>
      <c r="C75" s="404"/>
      <c r="D75" s="404"/>
      <c r="E75" s="404" t="s">
        <v>14</v>
      </c>
      <c r="F75" s="404"/>
      <c r="G75" s="404"/>
      <c r="H75" s="68">
        <f>MODULO!$O$31*MODULO!$O$19</f>
        <v>0</v>
      </c>
      <c r="I75" s="68">
        <f>K26</f>
        <v>0</v>
      </c>
      <c r="J75" s="68">
        <f>INT(H75/K75)+1</f>
        <v>1</v>
      </c>
      <c r="K75" s="68">
        <f>INT(6300/(K26+4.5))</f>
        <v>1400</v>
      </c>
      <c r="L75" s="87">
        <f>Foglio1!$G$12*I75*H75/1000</f>
        <v>0</v>
      </c>
      <c r="M75" s="87">
        <f>Foglio1!$G$11*$H$75*$I$75/1000</f>
        <v>0</v>
      </c>
      <c r="N75" s="151">
        <f>IF(MODULO!$O$15="ALLUMINIO",Foglio1!$G$3*H75*I75/1000,Foglio1!$I$3*H75*I75/1000)</f>
        <v>0</v>
      </c>
      <c r="O75" s="156">
        <f>SUM(M75:N75)</f>
        <v>0</v>
      </c>
      <c r="P75" s="153"/>
      <c r="S75" s="148"/>
      <c r="T75" s="148"/>
      <c r="U75" s="148"/>
      <c r="V75" s="148"/>
      <c r="W75" s="148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</row>
    <row r="76" spans="1:104" s="69" customFormat="1" ht="15.75" customHeight="1" x14ac:dyDescent="0.25">
      <c r="A76" s="148"/>
      <c r="E76" s="388"/>
      <c r="F76" s="388"/>
      <c r="G76" s="388"/>
      <c r="M76" s="148"/>
      <c r="N76" s="68"/>
      <c r="O76" s="153"/>
      <c r="P76" s="153"/>
      <c r="S76" s="148"/>
      <c r="T76" s="148"/>
      <c r="U76" s="148"/>
      <c r="V76" s="148"/>
      <c r="W76" s="148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</row>
    <row r="77" spans="1:104" s="69" customFormat="1" ht="15.75" customHeight="1" x14ac:dyDescent="0.25">
      <c r="A77" s="148"/>
      <c r="E77" s="388"/>
      <c r="F77" s="388"/>
      <c r="G77" s="388"/>
      <c r="M77" s="148"/>
      <c r="N77" s="68"/>
      <c r="O77" s="153"/>
      <c r="P77" s="153"/>
      <c r="S77" s="148"/>
      <c r="T77" s="148"/>
      <c r="U77" s="148"/>
      <c r="V77" s="148"/>
      <c r="W77" s="148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</row>
    <row r="78" spans="1:104" s="69" customFormat="1" ht="15.75" customHeight="1" x14ac:dyDescent="0.25">
      <c r="A78" s="148"/>
      <c r="E78" s="388"/>
      <c r="F78" s="388"/>
      <c r="G78" s="388"/>
      <c r="M78" s="148"/>
      <c r="N78" s="68"/>
      <c r="O78" s="153"/>
      <c r="P78" s="153"/>
      <c r="S78" s="148"/>
      <c r="T78" s="148"/>
      <c r="U78" s="148"/>
      <c r="V78" s="148"/>
      <c r="W78" s="148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</row>
    <row r="79" spans="1:104" s="69" customFormat="1" ht="15.75" customHeight="1" x14ac:dyDescent="0.25">
      <c r="A79" s="148"/>
      <c r="E79" s="388"/>
      <c r="F79" s="388"/>
      <c r="G79" s="388"/>
      <c r="M79" s="148"/>
      <c r="O79" s="153"/>
      <c r="S79" s="148"/>
      <c r="T79" s="148"/>
      <c r="U79" s="148"/>
      <c r="V79" s="148"/>
      <c r="W79" s="148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</row>
    <row r="80" spans="1:104" s="69" customFormat="1" ht="15.75" customHeight="1" x14ac:dyDescent="0.25">
      <c r="A80" s="148"/>
      <c r="B80" s="401" t="s">
        <v>7</v>
      </c>
      <c r="C80" s="401"/>
      <c r="D80" s="401"/>
      <c r="E80" s="401" t="s">
        <v>8</v>
      </c>
      <c r="F80" s="401"/>
      <c r="G80" s="401"/>
      <c r="H80" s="401" t="s">
        <v>239</v>
      </c>
      <c r="I80" s="397" t="s">
        <v>11</v>
      </c>
      <c r="J80" s="401" t="s">
        <v>9</v>
      </c>
      <c r="K80" s="401" t="s">
        <v>10</v>
      </c>
      <c r="L80" s="89"/>
      <c r="M80" s="148"/>
      <c r="N80" s="99"/>
      <c r="O80" s="99"/>
      <c r="P80" s="99"/>
      <c r="S80" s="148"/>
      <c r="T80" s="148"/>
      <c r="U80" s="148"/>
      <c r="V80" s="148"/>
      <c r="W80" s="148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</row>
    <row r="81" spans="1:104" s="69" customFormat="1" ht="15.75" customHeight="1" x14ac:dyDescent="0.25">
      <c r="A81" s="148"/>
      <c r="B81" s="401"/>
      <c r="C81" s="401"/>
      <c r="D81" s="401"/>
      <c r="E81" s="401"/>
      <c r="F81" s="401"/>
      <c r="G81" s="401"/>
      <c r="H81" s="401"/>
      <c r="I81" s="397"/>
      <c r="J81" s="401"/>
      <c r="K81" s="401"/>
      <c r="L81" s="89"/>
      <c r="M81" s="148"/>
      <c r="N81" s="68"/>
      <c r="O81" s="153"/>
      <c r="P81" s="153"/>
      <c r="S81" s="148"/>
      <c r="T81" s="148"/>
      <c r="U81" s="148"/>
      <c r="V81" s="148"/>
      <c r="W81" s="148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</row>
    <row r="82" spans="1:104" s="69" customFormat="1" ht="15.75" customHeight="1" x14ac:dyDescent="0.25">
      <c r="A82" s="148"/>
      <c r="B82" s="405" t="s">
        <v>38</v>
      </c>
      <c r="C82" s="404"/>
      <c r="D82" s="404"/>
      <c r="E82" s="405" t="s">
        <v>39</v>
      </c>
      <c r="F82" s="404"/>
      <c r="G82" s="404"/>
      <c r="H82" s="68">
        <f>MODULO!$O$29*MODULO!$O$19</f>
        <v>0</v>
      </c>
      <c r="I82" s="68">
        <f>I75</f>
        <v>0</v>
      </c>
      <c r="J82" s="68">
        <f>INT(H82/K82)+1</f>
        <v>1</v>
      </c>
      <c r="K82" s="68">
        <f>INT(6300/(K26+4.5))</f>
        <v>1400</v>
      </c>
      <c r="L82" s="87">
        <f>Foglio1!$G$12*$H$82*$I$82/1000</f>
        <v>0</v>
      </c>
      <c r="M82" s="87">
        <f>Foglio1!$G$11*$H$82*$I$82/1000</f>
        <v>0</v>
      </c>
      <c r="N82" s="151">
        <f>IF(MODULO!$O$15="ALLUMINIO",Foglio1!$G$4*H82*I82/1000,Foglio1!$I$4*H82*I82/1000)</f>
        <v>0</v>
      </c>
      <c r="O82" s="156">
        <f>SUM(M82:N82)</f>
        <v>0</v>
      </c>
      <c r="P82" s="153"/>
      <c r="S82" s="148"/>
      <c r="T82" s="148"/>
      <c r="U82" s="148"/>
      <c r="V82" s="148"/>
      <c r="W82" s="148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</row>
    <row r="83" spans="1:104" s="69" customFormat="1" ht="15.75" customHeight="1" x14ac:dyDescent="0.25">
      <c r="A83" s="148"/>
      <c r="E83" s="388"/>
      <c r="F83" s="388"/>
      <c r="G83" s="388"/>
      <c r="M83" s="148"/>
      <c r="N83" s="68"/>
      <c r="O83" s="153"/>
      <c r="P83" s="153"/>
      <c r="S83" s="148"/>
      <c r="T83" s="148"/>
      <c r="U83" s="148"/>
      <c r="V83" s="148"/>
      <c r="W83" s="148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</row>
    <row r="84" spans="1:104" s="69" customFormat="1" ht="15.75" customHeight="1" x14ac:dyDescent="0.25">
      <c r="A84" s="148"/>
      <c r="E84" s="388"/>
      <c r="F84" s="388"/>
      <c r="G84" s="388"/>
      <c r="M84" s="148"/>
      <c r="O84" s="153"/>
      <c r="S84" s="148"/>
      <c r="T84" s="148"/>
      <c r="U84" s="148"/>
      <c r="V84" s="148"/>
      <c r="W84" s="148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</row>
    <row r="85" spans="1:104" s="69" customFormat="1" ht="15.75" customHeight="1" x14ac:dyDescent="0.25">
      <c r="A85" s="148"/>
      <c r="E85" s="388"/>
      <c r="F85" s="388"/>
      <c r="G85" s="388"/>
      <c r="M85" s="148"/>
      <c r="O85" s="153"/>
      <c r="S85" s="148"/>
      <c r="T85" s="148"/>
      <c r="U85" s="148"/>
      <c r="V85" s="148"/>
      <c r="W85" s="148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</row>
    <row r="86" spans="1:104" s="69" customFormat="1" ht="15.75" customHeight="1" x14ac:dyDescent="0.25">
      <c r="A86" s="148"/>
      <c r="E86" s="388"/>
      <c r="F86" s="388"/>
      <c r="G86" s="388"/>
      <c r="M86" s="148"/>
      <c r="O86" s="153"/>
      <c r="Q86" s="148"/>
      <c r="R86" s="148"/>
      <c r="S86" s="148"/>
      <c r="T86" s="148"/>
      <c r="U86" s="148"/>
      <c r="V86" s="148"/>
      <c r="W86" s="148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</row>
    <row r="87" spans="1:104" s="69" customFormat="1" ht="15.75" customHeight="1" x14ac:dyDescent="0.25">
      <c r="A87" s="148"/>
      <c r="E87" s="388"/>
      <c r="F87" s="388"/>
      <c r="G87" s="388"/>
      <c r="M87" s="148"/>
      <c r="O87" s="162"/>
      <c r="Q87" s="148"/>
      <c r="R87" s="148"/>
      <c r="S87" s="148"/>
      <c r="T87" s="148"/>
      <c r="U87" s="148"/>
      <c r="V87" s="148"/>
      <c r="W87" s="148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</row>
    <row r="88" spans="1:104" s="69" customFormat="1" ht="15.75" customHeight="1" x14ac:dyDescent="0.25">
      <c r="A88" s="148"/>
      <c r="B88" s="401" t="s">
        <v>7</v>
      </c>
      <c r="C88" s="401"/>
      <c r="D88" s="401"/>
      <c r="E88" s="401" t="s">
        <v>8</v>
      </c>
      <c r="F88" s="401"/>
      <c r="G88" s="401"/>
      <c r="H88" s="401" t="s">
        <v>239</v>
      </c>
      <c r="I88" s="397" t="s">
        <v>11</v>
      </c>
      <c r="J88" s="401" t="s">
        <v>9</v>
      </c>
      <c r="K88" s="401" t="s">
        <v>10</v>
      </c>
      <c r="L88" s="89"/>
      <c r="M88" s="148"/>
      <c r="O88" s="153"/>
      <c r="P88" s="99"/>
      <c r="Q88" s="148"/>
      <c r="R88" s="148"/>
      <c r="S88" s="148"/>
      <c r="T88" s="148"/>
      <c r="U88" s="148"/>
      <c r="V88" s="148"/>
      <c r="W88" s="148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</row>
    <row r="89" spans="1:104" s="69" customFormat="1" ht="15.75" customHeight="1" x14ac:dyDescent="0.25">
      <c r="A89" s="148"/>
      <c r="B89" s="401"/>
      <c r="C89" s="401"/>
      <c r="D89" s="401"/>
      <c r="E89" s="401"/>
      <c r="F89" s="401"/>
      <c r="G89" s="401"/>
      <c r="H89" s="401"/>
      <c r="I89" s="397"/>
      <c r="J89" s="401"/>
      <c r="K89" s="401"/>
      <c r="L89" s="89"/>
      <c r="M89" s="148"/>
      <c r="O89" s="153"/>
      <c r="P89" s="99"/>
      <c r="Q89" s="148"/>
      <c r="R89" s="148"/>
      <c r="S89" s="148"/>
      <c r="T89" s="148"/>
      <c r="U89" s="148"/>
      <c r="V89" s="148"/>
      <c r="W89" s="148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</row>
    <row r="90" spans="1:104" s="69" customFormat="1" ht="15.75" customHeight="1" x14ac:dyDescent="0.25">
      <c r="A90" s="148"/>
      <c r="B90" s="404" t="s">
        <v>13</v>
      </c>
      <c r="C90" s="404"/>
      <c r="D90" s="404"/>
      <c r="E90" s="405" t="s">
        <v>40</v>
      </c>
      <c r="F90" s="404"/>
      <c r="G90" s="404"/>
      <c r="H90" s="68">
        <f>MODULO!$O$33*MODULO!$O$19</f>
        <v>0</v>
      </c>
      <c r="I90" s="68">
        <f>I82</f>
        <v>0</v>
      </c>
      <c r="J90" s="68">
        <f>INT(H90/K90)+1</f>
        <v>1</v>
      </c>
      <c r="K90" s="68">
        <f>INT(6300/(K26+4.5))</f>
        <v>1400</v>
      </c>
      <c r="L90" s="87">
        <f>Foglio1!$G$12*$H$90*$I$90/1000</f>
        <v>0</v>
      </c>
      <c r="M90" s="87">
        <f>Foglio1!$G$11*$H$90*$I$90/1000</f>
        <v>0</v>
      </c>
      <c r="N90" s="151">
        <f>IF(MODULO!$O$15="ALLUMINIO",Foglio1!$G$5*$H$90*$I$90/1000,Foglio1!$I$5*$H$90*$I$90/1000)</f>
        <v>0</v>
      </c>
      <c r="O90" s="156">
        <f>SUM(M90:N90)</f>
        <v>0</v>
      </c>
      <c r="P90" s="153"/>
      <c r="Q90" s="148"/>
      <c r="R90" s="148"/>
      <c r="S90" s="148"/>
      <c r="T90" s="148"/>
      <c r="U90" s="148"/>
      <c r="V90" s="148"/>
      <c r="W90" s="148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</row>
    <row r="91" spans="1:104" s="69" customFormat="1" ht="15.75" customHeight="1" x14ac:dyDescent="0.25">
      <c r="A91" s="148"/>
      <c r="E91" s="388"/>
      <c r="F91" s="388"/>
      <c r="G91" s="388"/>
      <c r="M91" s="148"/>
      <c r="P91" s="99"/>
      <c r="Q91" s="148"/>
      <c r="R91" s="148"/>
      <c r="S91" s="148"/>
      <c r="T91" s="148"/>
      <c r="U91" s="148"/>
      <c r="V91" s="148"/>
      <c r="W91" s="148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</row>
    <row r="92" spans="1:104" s="69" customFormat="1" ht="15.75" customHeight="1" x14ac:dyDescent="0.25">
      <c r="A92" s="148"/>
      <c r="E92" s="388"/>
      <c r="F92" s="388"/>
      <c r="G92" s="388"/>
      <c r="M92" s="148"/>
      <c r="P92" s="99"/>
      <c r="Q92" s="148"/>
      <c r="R92" s="148"/>
      <c r="S92" s="148"/>
      <c r="T92" s="148"/>
      <c r="U92" s="148"/>
      <c r="V92" s="148"/>
      <c r="W92" s="148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</row>
    <row r="93" spans="1:104" s="69" customFormat="1" ht="15.75" customHeight="1" x14ac:dyDescent="0.25">
      <c r="A93" s="148"/>
      <c r="E93" s="388"/>
      <c r="F93" s="388"/>
      <c r="G93" s="388"/>
      <c r="M93" s="148"/>
      <c r="P93" s="99"/>
      <c r="Q93" s="148"/>
      <c r="R93" s="148"/>
      <c r="S93" s="148"/>
      <c r="T93" s="148"/>
      <c r="U93" s="148"/>
      <c r="V93" s="148"/>
      <c r="W93" s="148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</row>
    <row r="94" spans="1:104" s="69" customFormat="1" ht="15.75" customHeight="1" x14ac:dyDescent="0.25">
      <c r="A94" s="148"/>
      <c r="E94" s="388"/>
      <c r="F94" s="388"/>
      <c r="G94" s="388"/>
      <c r="M94" s="148"/>
      <c r="P94" s="99"/>
      <c r="Q94" s="148"/>
      <c r="R94" s="148"/>
      <c r="S94" s="148"/>
      <c r="T94" s="148"/>
      <c r="U94" s="148"/>
      <c r="V94" s="148"/>
      <c r="W94" s="148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</row>
    <row r="95" spans="1:104" s="69" customFormat="1" ht="15.75" customHeight="1" x14ac:dyDescent="0.25">
      <c r="A95" s="148"/>
      <c r="B95" s="402" t="s">
        <v>44</v>
      </c>
      <c r="C95" s="402"/>
      <c r="D95" s="402"/>
      <c r="E95" s="402"/>
      <c r="F95" s="402"/>
      <c r="G95" s="402"/>
      <c r="H95" s="402"/>
      <c r="I95" s="402"/>
      <c r="J95" s="402"/>
      <c r="K95" s="402"/>
      <c r="L95" s="163"/>
      <c r="M95" s="148"/>
      <c r="P95" s="99"/>
      <c r="Q95" s="148"/>
      <c r="R95" s="148"/>
      <c r="S95" s="148"/>
      <c r="T95" s="148"/>
      <c r="U95" s="148"/>
      <c r="V95" s="148"/>
      <c r="W95" s="148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</row>
    <row r="96" spans="1:104" s="69" customFormat="1" ht="15.75" customHeight="1" x14ac:dyDescent="0.25">
      <c r="A96" s="148"/>
      <c r="B96" s="402"/>
      <c r="C96" s="402"/>
      <c r="D96" s="402"/>
      <c r="E96" s="402"/>
      <c r="F96" s="402"/>
      <c r="G96" s="402"/>
      <c r="H96" s="402"/>
      <c r="I96" s="402"/>
      <c r="J96" s="402"/>
      <c r="K96" s="402"/>
      <c r="L96" s="164" t="s">
        <v>151</v>
      </c>
      <c r="M96" s="165" t="s">
        <v>152</v>
      </c>
      <c r="N96" s="114">
        <f>$J$99</f>
        <v>0</v>
      </c>
      <c r="O96" s="120">
        <f>Foglio1!$G$9</f>
        <v>31.551120000000001</v>
      </c>
      <c r="P96" s="113">
        <f>O96*N96</f>
        <v>0</v>
      </c>
      <c r="Q96" s="148"/>
      <c r="R96" s="148"/>
      <c r="S96" s="148"/>
      <c r="T96" s="148"/>
      <c r="U96" s="148"/>
      <c r="V96" s="148"/>
      <c r="W96" s="148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</row>
    <row r="97" spans="1:104" s="69" customFormat="1" ht="15.75" customHeight="1" x14ac:dyDescent="0.25">
      <c r="A97" s="148"/>
      <c r="B97" s="406" t="s">
        <v>8</v>
      </c>
      <c r="C97" s="406"/>
      <c r="D97" s="406"/>
      <c r="E97" s="406" t="s">
        <v>15</v>
      </c>
      <c r="F97" s="406"/>
      <c r="G97" s="406"/>
      <c r="H97" s="406"/>
      <c r="I97" s="406"/>
      <c r="J97" s="86" t="s">
        <v>3</v>
      </c>
      <c r="K97" s="86" t="s">
        <v>16</v>
      </c>
      <c r="L97" s="166"/>
      <c r="M97" s="167"/>
      <c r="N97" s="168"/>
      <c r="O97" s="169"/>
      <c r="P97" s="99"/>
      <c r="Q97" s="148"/>
      <c r="R97" s="148"/>
      <c r="S97" s="148"/>
      <c r="T97" s="148"/>
      <c r="U97" s="148"/>
      <c r="V97" s="148"/>
      <c r="W97" s="148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</row>
    <row r="98" spans="1:104" s="69" customFormat="1" ht="15.75" customHeight="1" x14ac:dyDescent="0.25">
      <c r="A98" s="148"/>
      <c r="B98" s="403" t="s">
        <v>17</v>
      </c>
      <c r="C98" s="403"/>
      <c r="D98" s="403"/>
      <c r="E98" s="403" t="s">
        <v>19</v>
      </c>
      <c r="F98" s="403"/>
      <c r="G98" s="403"/>
      <c r="H98" s="403"/>
      <c r="I98" s="403"/>
      <c r="J98" s="87">
        <f>(F25+F26+F27+F28)*2</f>
        <v>0</v>
      </c>
      <c r="K98" s="87">
        <f>K26-120</f>
        <v>-120</v>
      </c>
      <c r="L98" s="170"/>
      <c r="M98" s="171"/>
      <c r="N98" s="172"/>
      <c r="O98" s="173"/>
      <c r="P98" s="148"/>
      <c r="Q98" s="148"/>
      <c r="R98" s="148"/>
      <c r="S98" s="148"/>
      <c r="T98" s="148"/>
      <c r="U98" s="148"/>
      <c r="V98" s="148"/>
      <c r="W98" s="148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</row>
    <row r="99" spans="1:104" s="69" customFormat="1" ht="15.75" customHeight="1" x14ac:dyDescent="0.25">
      <c r="A99" s="148"/>
      <c r="B99" s="403" t="s">
        <v>18</v>
      </c>
      <c r="C99" s="403"/>
      <c r="D99" s="403"/>
      <c r="E99" s="403" t="s">
        <v>20</v>
      </c>
      <c r="F99" s="403"/>
      <c r="G99" s="403"/>
      <c r="H99" s="403"/>
      <c r="I99" s="403"/>
      <c r="J99" s="87">
        <f>H45/2</f>
        <v>0</v>
      </c>
      <c r="K99" s="70"/>
      <c r="L99" s="118" t="s">
        <v>162</v>
      </c>
      <c r="M99" s="174" t="s">
        <v>198</v>
      </c>
      <c r="N99" s="112">
        <f>$J$99</f>
        <v>0</v>
      </c>
      <c r="O99" s="120">
        <f>Foglio1!$G$15</f>
        <v>34.6</v>
      </c>
      <c r="P99" s="121">
        <f>$O$99*$N$99</f>
        <v>0</v>
      </c>
      <c r="Q99" s="148"/>
      <c r="R99" s="148"/>
      <c r="S99" s="148"/>
      <c r="T99" s="148"/>
      <c r="U99" s="148"/>
      <c r="V99" s="148"/>
      <c r="W99" s="148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</row>
    <row r="100" spans="1:104" s="69" customFormat="1" ht="15.75" customHeight="1" x14ac:dyDescent="0.25">
      <c r="A100" s="148"/>
      <c r="B100" s="68"/>
      <c r="C100" s="68"/>
      <c r="D100" s="68"/>
      <c r="E100" s="68"/>
      <c r="F100" s="68"/>
      <c r="G100" s="68"/>
      <c r="H100" s="68"/>
      <c r="I100" s="68"/>
      <c r="J100" s="59"/>
      <c r="K100" s="59"/>
      <c r="L100" s="59"/>
      <c r="M100" s="175" t="s">
        <v>101</v>
      </c>
      <c r="N100" s="68">
        <f>IF($I$9="MONTATO",SUM(H45/2),0)</f>
        <v>0</v>
      </c>
      <c r="O100" s="175"/>
      <c r="P100" s="176">
        <f>SUM(N100*50)</f>
        <v>0</v>
      </c>
      <c r="Q100" s="148" t="s">
        <v>165</v>
      </c>
      <c r="R100" s="148"/>
      <c r="S100" s="148"/>
      <c r="T100" s="148"/>
      <c r="U100" s="148"/>
      <c r="V100" s="148"/>
      <c r="W100" s="148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</row>
    <row r="101" spans="1:104" s="69" customFormat="1" ht="15.75" customHeight="1" x14ac:dyDescent="0.25">
      <c r="A101" s="148"/>
      <c r="B101" s="407" t="s">
        <v>121</v>
      </c>
      <c r="C101" s="407"/>
      <c r="D101" s="407"/>
      <c r="E101" s="407" t="s">
        <v>42</v>
      </c>
      <c r="F101" s="407"/>
      <c r="G101" s="71" t="s">
        <v>22</v>
      </c>
      <c r="H101" s="72">
        <f>INT(K25-6)</f>
        <v>-6</v>
      </c>
      <c r="I101" s="73" t="s">
        <v>127</v>
      </c>
      <c r="J101" s="74">
        <f>MODULO!$O$19*MODULO!$O$25*(1+$K$27)</f>
        <v>0</v>
      </c>
      <c r="K101" s="75" t="s">
        <v>128</v>
      </c>
      <c r="L101" s="75"/>
      <c r="M101" s="175" t="s">
        <v>102</v>
      </c>
      <c r="N101" s="68">
        <f>SUM(H45/2)</f>
        <v>0</v>
      </c>
      <c r="O101" s="175"/>
      <c r="P101" s="176">
        <f>SUM(N101*50)</f>
        <v>0</v>
      </c>
      <c r="Q101" s="148"/>
      <c r="R101" s="148"/>
      <c r="S101" s="148"/>
      <c r="T101" s="148"/>
      <c r="U101" s="148"/>
      <c r="V101" s="148"/>
      <c r="W101" s="148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</row>
    <row r="102" spans="1:104" s="69" customFormat="1" ht="15.75" customHeight="1" thickBot="1" x14ac:dyDescent="0.35">
      <c r="A102" s="148"/>
      <c r="B102" s="407"/>
      <c r="C102" s="407"/>
      <c r="D102" s="407"/>
      <c r="E102" s="407" t="s">
        <v>21</v>
      </c>
      <c r="F102" s="407"/>
      <c r="G102" s="76" t="s">
        <v>22</v>
      </c>
      <c r="H102" s="77">
        <f>INT((K26-(6+3.5*K27))/(K27+1))</f>
        <v>-6</v>
      </c>
      <c r="I102" s="78"/>
      <c r="J102" s="78"/>
      <c r="K102" s="78"/>
      <c r="L102" s="78"/>
      <c r="M102" s="148"/>
      <c r="N102" s="68" t="s">
        <v>103</v>
      </c>
      <c r="O102" s="177" t="s">
        <v>98</v>
      </c>
      <c r="P102" s="178">
        <f>SUM(P99+P100+P101+P96+O90+O82+O69+O68+O62+O61+O53+O52+O45+P37+P34+P33+P32+P31+P30+O75)</f>
        <v>0</v>
      </c>
      <c r="Q102" s="148"/>
      <c r="R102" s="148"/>
      <c r="S102" s="148"/>
      <c r="T102" s="148"/>
      <c r="U102" s="148"/>
      <c r="V102" s="148"/>
      <c r="W102" s="148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</row>
    <row r="103" spans="1:104" s="69" customFormat="1" ht="15.75" customHeight="1" x14ac:dyDescent="0.25">
      <c r="A103" s="148"/>
      <c r="B103" s="79"/>
      <c r="C103" s="79"/>
      <c r="D103" s="79"/>
      <c r="E103" s="79"/>
      <c r="F103" s="79"/>
      <c r="G103" s="79"/>
      <c r="H103" s="79"/>
      <c r="I103" s="59"/>
      <c r="J103" s="79"/>
      <c r="K103" s="79"/>
      <c r="L103" s="386" t="s">
        <v>203</v>
      </c>
      <c r="M103" s="387"/>
      <c r="N103" s="179" t="s">
        <v>204</v>
      </c>
      <c r="O103" s="179" t="s">
        <v>186</v>
      </c>
      <c r="P103" s="180" t="s">
        <v>98</v>
      </c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</row>
    <row r="104" spans="1:104" s="69" customFormat="1" ht="15.75" customHeight="1" x14ac:dyDescent="0.3">
      <c r="A104" s="148"/>
      <c r="B104" s="407" t="s">
        <v>122</v>
      </c>
      <c r="C104" s="407"/>
      <c r="D104" s="407"/>
      <c r="E104" s="407" t="s">
        <v>42</v>
      </c>
      <c r="F104" s="407"/>
      <c r="G104" s="71" t="s">
        <v>22</v>
      </c>
      <c r="H104" s="72">
        <f>INT(K25-4)</f>
        <v>-4</v>
      </c>
      <c r="I104" s="398" t="str">
        <f>MODULO!AR1</f>
        <v>PS 19 V.7</v>
      </c>
      <c r="J104" s="399"/>
      <c r="K104" s="400"/>
      <c r="L104" s="384" t="b">
        <f>IF($D$30&gt;0,IF($D$30="ALLUMINIO","PS19",IF($D$30="METAL GREY","PS19MG",0)))</f>
        <v>0</v>
      </c>
      <c r="M104" s="385"/>
      <c r="N104" s="385"/>
      <c r="O104" s="385"/>
      <c r="P104" s="181">
        <f>SUM($P$102-$P$34-$P$33-$P$32-$P$31-$P$30)</f>
        <v>0</v>
      </c>
      <c r="Q104" s="92"/>
      <c r="R104" s="18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</row>
    <row r="105" spans="1:104" s="69" customFormat="1" ht="15.75" customHeight="1" x14ac:dyDescent="0.25">
      <c r="A105" s="148"/>
      <c r="B105" s="407"/>
      <c r="C105" s="407"/>
      <c r="D105" s="407"/>
      <c r="E105" s="407" t="s">
        <v>21</v>
      </c>
      <c r="F105" s="407"/>
      <c r="G105" s="76" t="s">
        <v>22</v>
      </c>
      <c r="H105" s="77">
        <f>INT(((K26-5)-(2*K27))/(K27+1))</f>
        <v>-5</v>
      </c>
      <c r="I105" s="398"/>
      <c r="J105" s="399"/>
      <c r="K105" s="400"/>
      <c r="L105" s="183" t="str">
        <f>L30</f>
        <v/>
      </c>
      <c r="M105" s="184" t="s">
        <v>215</v>
      </c>
      <c r="N105" s="185">
        <f>N30</f>
        <v>0</v>
      </c>
      <c r="O105" s="185">
        <f>O30</f>
        <v>6.6959999999999997</v>
      </c>
      <c r="P105" s="186">
        <f>P30</f>
        <v>0</v>
      </c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92"/>
      <c r="CG105" s="92"/>
      <c r="CH105" s="92"/>
      <c r="CI105" s="9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</row>
    <row r="106" spans="1:104" s="69" customFormat="1" ht="15.75" customHeight="1" x14ac:dyDescent="0.25">
      <c r="A106" s="148"/>
      <c r="B106" s="68"/>
      <c r="C106" s="68"/>
      <c r="D106" s="68"/>
      <c r="E106" s="68"/>
      <c r="F106" s="68"/>
      <c r="G106" s="68"/>
      <c r="H106" s="80"/>
      <c r="I106" s="59"/>
      <c r="J106" s="59"/>
      <c r="K106" s="59"/>
      <c r="L106" s="187" t="str">
        <f>L31</f>
        <v/>
      </c>
      <c r="M106" s="188" t="s">
        <v>206</v>
      </c>
      <c r="N106" s="112">
        <f>N31</f>
        <v>0</v>
      </c>
      <c r="O106" s="112" t="b">
        <f t="shared" ref="O106:P106" si="0">O31</f>
        <v>0</v>
      </c>
      <c r="P106" s="189">
        <f t="shared" si="0"/>
        <v>0</v>
      </c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</row>
    <row r="107" spans="1:104" s="69" customFormat="1" ht="15.75" customHeight="1" x14ac:dyDescent="0.25">
      <c r="A107" s="148"/>
      <c r="B107" s="404"/>
      <c r="C107" s="404"/>
      <c r="D107" s="404"/>
      <c r="E107" s="404"/>
      <c r="F107" s="404"/>
      <c r="G107" s="190"/>
      <c r="H107" s="191"/>
      <c r="I107" s="59"/>
      <c r="J107" s="59"/>
      <c r="K107" s="59"/>
      <c r="L107" s="192" t="str">
        <f>L32</f>
        <v/>
      </c>
      <c r="M107" s="193" t="s">
        <v>205</v>
      </c>
      <c r="N107" s="116">
        <f>N32</f>
        <v>0</v>
      </c>
      <c r="O107" s="112" t="b">
        <f t="shared" ref="O107:P107" si="1">O32</f>
        <v>0</v>
      </c>
      <c r="P107" s="189">
        <f t="shared" si="1"/>
        <v>0</v>
      </c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</row>
    <row r="108" spans="1:104" s="69" customFormat="1" ht="15.75" customHeight="1" x14ac:dyDescent="0.25">
      <c r="A108" s="148"/>
      <c r="B108" s="404"/>
      <c r="C108" s="404"/>
      <c r="D108" s="404"/>
      <c r="E108" s="404"/>
      <c r="F108" s="404"/>
      <c r="G108" s="190"/>
      <c r="H108" s="191"/>
      <c r="I108" s="59"/>
      <c r="J108" s="59"/>
      <c r="K108" s="59"/>
      <c r="L108" s="187">
        <f>L33</f>
        <v>0</v>
      </c>
      <c r="M108" s="194" t="s">
        <v>188</v>
      </c>
      <c r="N108" s="112">
        <f>N33</f>
        <v>0</v>
      </c>
      <c r="O108" s="112">
        <f t="shared" ref="O108:P109" si="2">O33</f>
        <v>0</v>
      </c>
      <c r="P108" s="189">
        <f t="shared" si="2"/>
        <v>0</v>
      </c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</row>
    <row r="109" spans="1:104" s="69" customFormat="1" ht="15.75" customHeight="1" thickBot="1" x14ac:dyDescent="0.3">
      <c r="A109" s="148"/>
      <c r="B109" s="68"/>
      <c r="C109" s="68"/>
      <c r="D109" s="68"/>
      <c r="E109" s="68"/>
      <c r="F109" s="68"/>
      <c r="G109" s="68"/>
      <c r="H109" s="68"/>
      <c r="I109" s="59"/>
      <c r="J109" s="59"/>
      <c r="K109" s="59"/>
      <c r="L109" s="195">
        <f>L34</f>
        <v>0</v>
      </c>
      <c r="M109" s="196" t="s">
        <v>189</v>
      </c>
      <c r="N109" s="197">
        <f>N34</f>
        <v>0</v>
      </c>
      <c r="O109" s="197">
        <f t="shared" si="2"/>
        <v>0</v>
      </c>
      <c r="P109" s="198">
        <f t="shared" si="2"/>
        <v>0</v>
      </c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  <c r="CE109" s="92"/>
      <c r="CF109" s="92"/>
      <c r="CG109" s="92"/>
      <c r="CH109" s="92"/>
      <c r="CI109" s="92"/>
      <c r="CJ109" s="92"/>
      <c r="CK109" s="92"/>
      <c r="CL109" s="92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</row>
    <row r="110" spans="1:104" s="69" customFormat="1" ht="15.75" customHeight="1" x14ac:dyDescent="0.25">
      <c r="A110" s="148"/>
      <c r="G110" s="59"/>
      <c r="H110" s="59"/>
      <c r="I110" s="59"/>
      <c r="J110" s="59"/>
      <c r="K110" s="59"/>
      <c r="L110" s="99"/>
      <c r="M110" s="99"/>
      <c r="N110" s="99"/>
      <c r="O110" s="99"/>
      <c r="P110" s="99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  <c r="CE110" s="92"/>
      <c r="CF110" s="92"/>
      <c r="CG110" s="92"/>
      <c r="CH110" s="92"/>
      <c r="CI110" s="92"/>
      <c r="CJ110" s="92"/>
      <c r="CK110" s="92"/>
      <c r="CL110" s="92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</row>
    <row r="111" spans="1:104" s="69" customFormat="1" ht="15.75" customHeight="1" x14ac:dyDescent="0.25">
      <c r="A111" s="148"/>
      <c r="G111" s="59"/>
      <c r="H111" s="59"/>
      <c r="I111" s="59"/>
      <c r="J111" s="59"/>
      <c r="K111" s="59"/>
      <c r="L111" s="59"/>
      <c r="M111" s="148"/>
      <c r="N111" s="148"/>
      <c r="O111" s="148"/>
      <c r="P111" s="104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</row>
    <row r="112" spans="1:104" s="69" customFormat="1" ht="15.75" customHeight="1" x14ac:dyDescent="0.25">
      <c r="A112" s="148"/>
      <c r="G112" s="59"/>
      <c r="H112" s="59"/>
      <c r="I112" s="59"/>
      <c r="J112" s="59"/>
      <c r="K112" s="59"/>
      <c r="L112" s="59"/>
      <c r="M112" s="148"/>
      <c r="N112" s="148"/>
      <c r="O112" s="148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</row>
    <row r="113" spans="1:104" s="69" customFormat="1" ht="15.75" customHeight="1" x14ac:dyDescent="0.25">
      <c r="A113" s="148"/>
      <c r="G113" s="59"/>
      <c r="H113" s="59"/>
      <c r="I113" s="59"/>
      <c r="J113" s="59"/>
      <c r="K113" s="59"/>
      <c r="L113" s="59"/>
      <c r="M113" s="148"/>
      <c r="N113" s="148"/>
      <c r="O113" s="148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</row>
    <row r="114" spans="1:104" s="69" customFormat="1" ht="15.75" customHeight="1" x14ac:dyDescent="0.25">
      <c r="A114" s="148"/>
      <c r="G114" s="59"/>
      <c r="H114" s="59"/>
      <c r="I114" s="59"/>
      <c r="J114" s="59"/>
      <c r="K114" s="59"/>
      <c r="L114" s="59"/>
      <c r="M114" s="148"/>
      <c r="N114" s="148"/>
      <c r="O114" s="148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</row>
    <row r="115" spans="1:104" s="69" customFormat="1" ht="15.75" customHeight="1" x14ac:dyDescent="0.25">
      <c r="A115" s="148"/>
      <c r="G115" s="59"/>
      <c r="H115" s="59"/>
      <c r="I115" s="59"/>
      <c r="J115" s="59"/>
      <c r="K115" s="59"/>
      <c r="L115" s="59"/>
      <c r="M115" s="148"/>
      <c r="N115" s="148"/>
      <c r="O115" s="148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</row>
    <row r="116" spans="1:104" s="69" customFormat="1" ht="15.75" customHeight="1" x14ac:dyDescent="0.25">
      <c r="A116" s="148"/>
      <c r="G116" s="59"/>
      <c r="H116" s="59"/>
      <c r="I116" s="59"/>
      <c r="J116" s="59"/>
      <c r="K116" s="59"/>
      <c r="L116" s="59"/>
      <c r="M116" s="148"/>
      <c r="N116" s="148"/>
      <c r="O116" s="148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</row>
    <row r="117" spans="1:104" s="69" customFormat="1" ht="15.75" customHeight="1" x14ac:dyDescent="0.25">
      <c r="A117" s="148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148"/>
      <c r="N117" s="148"/>
      <c r="O117" s="148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</row>
    <row r="118" spans="1:104" s="69" customFormat="1" ht="15.75" customHeight="1" x14ac:dyDescent="0.25">
      <c r="A118" s="148"/>
      <c r="B118" s="59"/>
      <c r="C118" s="59"/>
      <c r="D118" s="199"/>
      <c r="E118" s="199"/>
      <c r="F118" s="59"/>
      <c r="G118" s="59"/>
      <c r="H118" s="199"/>
      <c r="I118" s="199"/>
      <c r="J118" s="199"/>
      <c r="K118" s="59"/>
      <c r="L118" s="59"/>
      <c r="M118" s="148"/>
      <c r="N118" s="148"/>
      <c r="O118" s="148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</row>
    <row r="119" spans="1:104" s="69" customFormat="1" ht="15.75" customHeight="1" x14ac:dyDescent="0.25">
      <c r="A119" s="148"/>
      <c r="B119" s="59"/>
      <c r="C119" s="59"/>
      <c r="D119" s="199"/>
      <c r="E119" s="199"/>
      <c r="F119" s="59"/>
      <c r="G119" s="59"/>
      <c r="H119" s="199"/>
      <c r="I119" s="59"/>
      <c r="J119" s="59"/>
      <c r="K119" s="59"/>
      <c r="L119" s="59"/>
      <c r="M119" s="148"/>
      <c r="N119" s="148"/>
      <c r="O119" s="148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</row>
    <row r="120" spans="1:104" s="69" customFormat="1" ht="15.75" customHeight="1" x14ac:dyDescent="0.25">
      <c r="A120" s="148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148"/>
      <c r="N120" s="148"/>
      <c r="O120" s="148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</row>
    <row r="121" spans="1:104" s="69" customFormat="1" ht="15.75" customHeight="1" x14ac:dyDescent="0.25">
      <c r="A121" s="148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148"/>
      <c r="N121" s="148"/>
      <c r="O121" s="148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</row>
    <row r="122" spans="1:104" s="69" customFormat="1" ht="15.75" customHeight="1" x14ac:dyDescent="0.25">
      <c r="A122" s="148"/>
      <c r="M122" s="148"/>
      <c r="N122" s="148"/>
      <c r="O122" s="148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</row>
    <row r="123" spans="1:104" s="69" customFormat="1" ht="15.75" customHeight="1" x14ac:dyDescent="0.25">
      <c r="A123" s="148"/>
      <c r="M123" s="148"/>
      <c r="N123" s="148"/>
      <c r="O123" s="148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  <c r="CE123" s="92"/>
      <c r="CF123" s="92"/>
      <c r="CG123" s="92"/>
      <c r="CH123" s="92"/>
      <c r="CI123" s="92"/>
      <c r="CJ123" s="92"/>
      <c r="CK123" s="92"/>
      <c r="CL123" s="92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</row>
    <row r="124" spans="1:104" s="69" customFormat="1" ht="15.75" customHeight="1" x14ac:dyDescent="0.25">
      <c r="A124" s="148"/>
      <c r="M124" s="148"/>
      <c r="N124" s="148"/>
      <c r="O124" s="148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  <c r="CE124" s="92"/>
      <c r="CF124" s="92"/>
      <c r="CG124" s="92"/>
      <c r="CH124" s="92"/>
      <c r="CI124" s="92"/>
      <c r="CJ124" s="92"/>
      <c r="CK124" s="92"/>
      <c r="CL124" s="92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</row>
    <row r="125" spans="1:104" s="69" customFormat="1" ht="15.75" customHeight="1" x14ac:dyDescent="0.25">
      <c r="A125" s="148"/>
      <c r="M125" s="148"/>
      <c r="N125" s="148"/>
      <c r="O125" s="148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</row>
    <row r="126" spans="1:104" s="69" customFormat="1" ht="15.75" customHeight="1" x14ac:dyDescent="0.25">
      <c r="A126" s="148"/>
      <c r="M126" s="148"/>
      <c r="N126" s="148"/>
      <c r="O126" s="148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</row>
    <row r="127" spans="1:104" s="69" customFormat="1" ht="15.75" customHeight="1" x14ac:dyDescent="0.25">
      <c r="A127" s="148"/>
      <c r="M127" s="148"/>
      <c r="N127" s="148"/>
      <c r="O127" s="148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</row>
    <row r="128" spans="1:104" s="69" customFormat="1" ht="15.75" customHeight="1" x14ac:dyDescent="0.25">
      <c r="A128" s="148"/>
      <c r="M128" s="148"/>
      <c r="N128" s="148"/>
      <c r="O128" s="148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</row>
    <row r="129" spans="1:104" s="69" customFormat="1" ht="15.75" customHeight="1" x14ac:dyDescent="0.25">
      <c r="A129" s="148"/>
      <c r="M129" s="148"/>
      <c r="N129" s="148"/>
      <c r="O129" s="148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</row>
    <row r="130" spans="1:104" s="69" customFormat="1" ht="15.75" customHeight="1" x14ac:dyDescent="0.25">
      <c r="A130" s="148"/>
      <c r="M130" s="148"/>
      <c r="N130" s="148"/>
      <c r="O130" s="148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</row>
    <row r="131" spans="1:104" s="69" customFormat="1" ht="15.75" customHeight="1" x14ac:dyDescent="0.25">
      <c r="A131" s="148"/>
      <c r="M131" s="148"/>
      <c r="N131" s="148"/>
      <c r="O131" s="148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  <c r="CD131" s="92"/>
      <c r="CE131" s="92"/>
      <c r="CF131" s="92"/>
      <c r="CG131" s="92"/>
      <c r="CH131" s="92"/>
      <c r="CI131" s="92"/>
      <c r="CJ131" s="92"/>
      <c r="CK131" s="92"/>
      <c r="CL131" s="92"/>
      <c r="CM131" s="92"/>
      <c r="CN131" s="92"/>
      <c r="CO131" s="92"/>
      <c r="CP131" s="92"/>
      <c r="CQ131" s="92"/>
      <c r="CR131" s="92"/>
      <c r="CS131" s="92"/>
      <c r="CT131" s="92"/>
      <c r="CU131" s="92"/>
      <c r="CV131" s="92"/>
      <c r="CW131" s="92"/>
      <c r="CX131" s="92"/>
      <c r="CY131" s="92"/>
      <c r="CZ131" s="92"/>
    </row>
    <row r="132" spans="1:104" s="69" customFormat="1" ht="15.75" customHeight="1" x14ac:dyDescent="0.25">
      <c r="A132" s="148"/>
      <c r="M132" s="148"/>
      <c r="N132" s="148"/>
      <c r="O132" s="148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  <c r="CD132" s="92"/>
      <c r="CE132" s="92"/>
      <c r="CF132" s="92"/>
      <c r="CG132" s="92"/>
      <c r="CH132" s="92"/>
      <c r="CI132" s="92"/>
      <c r="CJ132" s="92"/>
      <c r="CK132" s="92"/>
      <c r="CL132" s="92"/>
      <c r="CM132" s="92"/>
      <c r="CN132" s="92"/>
      <c r="CO132" s="92"/>
      <c r="CP132" s="92"/>
      <c r="CQ132" s="92"/>
      <c r="CR132" s="92"/>
      <c r="CS132" s="92"/>
      <c r="CT132" s="92"/>
      <c r="CU132" s="92"/>
      <c r="CV132" s="92"/>
      <c r="CW132" s="92"/>
      <c r="CX132" s="92"/>
      <c r="CY132" s="92"/>
      <c r="CZ132" s="92"/>
    </row>
    <row r="133" spans="1:104" s="69" customFormat="1" ht="15.75" customHeight="1" x14ac:dyDescent="0.25">
      <c r="A133" s="148"/>
      <c r="M133" s="148"/>
      <c r="N133" s="148"/>
      <c r="O133" s="148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  <c r="CD133" s="92"/>
      <c r="CE133" s="92"/>
      <c r="CF133" s="92"/>
      <c r="CG133" s="92"/>
      <c r="CH133" s="92"/>
      <c r="CI133" s="92"/>
      <c r="CJ133" s="92"/>
      <c r="CK133" s="92"/>
      <c r="CL133" s="92"/>
      <c r="CM133" s="92"/>
      <c r="CN133" s="92"/>
      <c r="CO133" s="92"/>
      <c r="CP133" s="92"/>
      <c r="CQ133" s="92"/>
      <c r="CR133" s="92"/>
      <c r="CS133" s="92"/>
      <c r="CT133" s="92"/>
      <c r="CU133" s="92"/>
      <c r="CV133" s="92"/>
      <c r="CW133" s="92"/>
      <c r="CX133" s="92"/>
      <c r="CY133" s="92"/>
      <c r="CZ133" s="92"/>
    </row>
    <row r="134" spans="1:104" s="69" customFormat="1" ht="15.75" customHeight="1" x14ac:dyDescent="0.25">
      <c r="A134" s="148"/>
      <c r="M134" s="148"/>
      <c r="N134" s="148"/>
      <c r="O134" s="148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  <c r="CD134" s="92"/>
      <c r="CE134" s="92"/>
      <c r="CF134" s="92"/>
      <c r="CG134" s="92"/>
      <c r="CH134" s="92"/>
      <c r="CI134" s="92"/>
      <c r="CJ134" s="92"/>
      <c r="CK134" s="92"/>
      <c r="CL134" s="92"/>
      <c r="CM134" s="92"/>
      <c r="CN134" s="92"/>
      <c r="CO134" s="92"/>
      <c r="CP134" s="92"/>
      <c r="CQ134" s="92"/>
      <c r="CR134" s="92"/>
      <c r="CS134" s="92"/>
      <c r="CT134" s="92"/>
      <c r="CU134" s="92"/>
      <c r="CV134" s="92"/>
      <c r="CW134" s="92"/>
      <c r="CX134" s="92"/>
      <c r="CY134" s="92"/>
      <c r="CZ134" s="92"/>
    </row>
    <row r="135" spans="1:104" s="69" customFormat="1" ht="15.75" customHeight="1" x14ac:dyDescent="0.25">
      <c r="A135" s="148"/>
      <c r="M135" s="148"/>
      <c r="N135" s="148"/>
      <c r="O135" s="148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</row>
    <row r="136" spans="1:104" s="69" customFormat="1" ht="15.75" customHeight="1" x14ac:dyDescent="0.25">
      <c r="A136" s="148"/>
      <c r="M136" s="148"/>
      <c r="N136" s="148"/>
      <c r="O136" s="148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92"/>
      <c r="CJ136" s="92"/>
      <c r="CK136" s="92"/>
      <c r="CL136" s="92"/>
      <c r="CM136" s="92"/>
      <c r="CN136" s="92"/>
      <c r="CO136" s="92"/>
      <c r="CP136" s="92"/>
      <c r="CQ136" s="92"/>
      <c r="CR136" s="92"/>
      <c r="CS136" s="92"/>
      <c r="CT136" s="92"/>
      <c r="CU136" s="92"/>
      <c r="CV136" s="92"/>
      <c r="CW136" s="92"/>
      <c r="CX136" s="92"/>
      <c r="CY136" s="92"/>
      <c r="CZ136" s="92"/>
    </row>
    <row r="137" spans="1:104" s="69" customFormat="1" ht="15.75" customHeight="1" x14ac:dyDescent="0.25">
      <c r="A137" s="148"/>
      <c r="M137" s="148"/>
      <c r="N137" s="148"/>
      <c r="O137" s="148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  <c r="CE137" s="92"/>
      <c r="CF137" s="92"/>
      <c r="CG137" s="92"/>
      <c r="CH137" s="92"/>
      <c r="CI137" s="92"/>
      <c r="CJ137" s="92"/>
      <c r="CK137" s="92"/>
      <c r="CL137" s="92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</row>
    <row r="138" spans="1:104" s="69" customFormat="1" ht="15.75" customHeight="1" x14ac:dyDescent="0.25">
      <c r="A138" s="148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</row>
    <row r="139" spans="1:104" s="69" customFormat="1" ht="15.75" customHeight="1" x14ac:dyDescent="0.25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</row>
    <row r="140" spans="1:104" s="69" customFormat="1" ht="15.75" customHeight="1" x14ac:dyDescent="0.25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</row>
    <row r="141" spans="1:104" s="69" customFormat="1" ht="15.75" customHeight="1" x14ac:dyDescent="0.25">
      <c r="A141" s="148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</row>
    <row r="142" spans="1:104" s="69" customFormat="1" ht="15.75" customHeight="1" x14ac:dyDescent="0.25">
      <c r="A142" s="148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</row>
    <row r="143" spans="1:104" s="69" customFormat="1" ht="15.75" customHeight="1" x14ac:dyDescent="0.25">
      <c r="A143" s="148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</row>
    <row r="144" spans="1:104" s="69" customFormat="1" ht="15.75" customHeight="1" x14ac:dyDescent="0.25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</row>
    <row r="145" spans="1:114" s="69" customFormat="1" ht="15.75" customHeight="1" x14ac:dyDescent="0.25">
      <c r="A145" s="148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</row>
    <row r="146" spans="1:114" s="69" customFormat="1" ht="15.75" customHeight="1" x14ac:dyDescent="0.25">
      <c r="A146" s="148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</row>
    <row r="147" spans="1:114" s="69" customFormat="1" ht="15.75" customHeight="1" x14ac:dyDescent="0.25">
      <c r="A147" s="148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</row>
    <row r="148" spans="1:114" s="69" customFormat="1" ht="15.75" customHeight="1" x14ac:dyDescent="0.25">
      <c r="A148" s="148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</row>
    <row r="149" spans="1:114" s="69" customFormat="1" ht="15.75" customHeight="1" x14ac:dyDescent="0.25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</row>
    <row r="150" spans="1:114" s="69" customFormat="1" ht="15.75" customHeight="1" x14ac:dyDescent="0.25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</row>
    <row r="151" spans="1:114" s="69" customFormat="1" ht="15.75" customHeight="1" x14ac:dyDescent="0.25">
      <c r="A151" s="148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92"/>
      <c r="CI151" s="92"/>
      <c r="CJ151" s="92"/>
      <c r="CK151" s="92"/>
      <c r="CL151" s="92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</row>
    <row r="152" spans="1:114" s="69" customFormat="1" ht="15.75" customHeight="1" x14ac:dyDescent="0.25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</row>
    <row r="153" spans="1:114" s="69" customFormat="1" ht="15.75" customHeight="1" x14ac:dyDescent="0.25">
      <c r="A153" s="148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</row>
    <row r="154" spans="1:114" s="69" customFormat="1" ht="15.75" customHeight="1" x14ac:dyDescent="0.25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</row>
    <row r="155" spans="1:114" s="69" customFormat="1" ht="15.75" customHeight="1" x14ac:dyDescent="0.25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</row>
    <row r="156" spans="1:114" s="69" customFormat="1" ht="15.75" customHeight="1" x14ac:dyDescent="0.25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  <c r="CD156" s="92"/>
      <c r="CE156" s="92"/>
      <c r="CF156" s="92"/>
      <c r="CG156" s="92"/>
      <c r="CH156" s="92"/>
      <c r="CI156" s="92"/>
      <c r="CJ156" s="92"/>
      <c r="CK156" s="92"/>
      <c r="CL156" s="92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</row>
    <row r="157" spans="1:114" s="69" customFormat="1" ht="13.8" x14ac:dyDescent="0.25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  <c r="CD157" s="92"/>
      <c r="CE157" s="92"/>
      <c r="CF157" s="92"/>
      <c r="CG157" s="92"/>
      <c r="CH157" s="92"/>
      <c r="CI157" s="92"/>
      <c r="CJ157" s="92"/>
      <c r="CK157" s="92"/>
      <c r="CL157" s="92"/>
      <c r="CM157" s="92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</row>
    <row r="158" spans="1:114" s="69" customFormat="1" ht="13.8" x14ac:dyDescent="0.25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  <c r="CD158" s="92"/>
      <c r="CE158" s="92"/>
      <c r="CF158" s="92"/>
      <c r="CG158" s="92"/>
      <c r="CH158" s="92"/>
      <c r="CI158" s="92"/>
      <c r="CJ158" s="92"/>
      <c r="CK158" s="92"/>
      <c r="CL158" s="92"/>
      <c r="CM158" s="92"/>
      <c r="CN158" s="92"/>
      <c r="CO158" s="92"/>
      <c r="CP158" s="92"/>
      <c r="CQ158" s="92"/>
      <c r="CR158" s="92"/>
      <c r="CS158" s="92"/>
      <c r="CT158" s="92"/>
      <c r="CU158" s="92"/>
      <c r="CV158" s="92"/>
      <c r="CW158" s="92"/>
      <c r="CX158" s="92"/>
      <c r="CY158" s="92"/>
      <c r="CZ158" s="92"/>
    </row>
    <row r="159" spans="1:114" ht="13.8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</row>
    <row r="160" spans="1:114" ht="13.8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</row>
    <row r="161" spans="1:114" ht="13.8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</row>
    <row r="162" spans="1:114" ht="13.8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</row>
    <row r="163" spans="1:114" ht="13.8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</row>
    <row r="164" spans="1:114" ht="13.8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</row>
  </sheetData>
  <sheetProtection algorithmName="SHA-512" hashValue="EuUTe1KS/U2Tyo5OUQxEXefBBL/nRRNLElTD0fPC8KkAEH1IUJUlE+wTloDpaC965ZTyu+DjtVjlqJ9Y1OwGDQ==" saltValue="cZ6H3dkmHxMyDiTkqzkp0g==" spinCount="100000" sheet="1" objects="1" scenarios="1" selectLockedCells="1"/>
  <protectedRanges>
    <protectedRange sqref="N42 N36:N37 N46 N50" name="Intervallo1_2" securityDescriptor="O:WDG:WDD:(A;;CC;;;AN)"/>
  </protectedRanges>
  <mergeCells count="125">
    <mergeCell ref="E20:F20"/>
    <mergeCell ref="C20:D20"/>
    <mergeCell ref="D30:F30"/>
    <mergeCell ref="B31:C31"/>
    <mergeCell ref="B32:C32"/>
    <mergeCell ref="C33:F33"/>
    <mergeCell ref="I43:I44"/>
    <mergeCell ref="J43:J44"/>
    <mergeCell ref="G21:K21"/>
    <mergeCell ref="B21:B29"/>
    <mergeCell ref="C21:D29"/>
    <mergeCell ref="E21:F29"/>
    <mergeCell ref="B30:C30"/>
    <mergeCell ref="D38:J38"/>
    <mergeCell ref="D34:K34"/>
    <mergeCell ref="G30:I30"/>
    <mergeCell ref="G23:K24"/>
    <mergeCell ref="B39:K41"/>
    <mergeCell ref="I31:K31"/>
    <mergeCell ref="B61:D61"/>
    <mergeCell ref="B68:D68"/>
    <mergeCell ref="E61:G61"/>
    <mergeCell ref="J66:J67"/>
    <mergeCell ref="I66:I67"/>
    <mergeCell ref="B50:D51"/>
    <mergeCell ref="E45:G45"/>
    <mergeCell ref="E52:G52"/>
    <mergeCell ref="L43:N43"/>
    <mergeCell ref="K59:K60"/>
    <mergeCell ref="B59:D60"/>
    <mergeCell ref="E59:G60"/>
    <mergeCell ref="H59:H60"/>
    <mergeCell ref="I59:I60"/>
    <mergeCell ref="J59:J60"/>
    <mergeCell ref="I50:I51"/>
    <mergeCell ref="J50:J51"/>
    <mergeCell ref="E50:G51"/>
    <mergeCell ref="E53:G56"/>
    <mergeCell ref="B52:D52"/>
    <mergeCell ref="B1:K1"/>
    <mergeCell ref="K43:K44"/>
    <mergeCell ref="B43:D44"/>
    <mergeCell ref="E43:G44"/>
    <mergeCell ref="H43:H44"/>
    <mergeCell ref="H50:H51"/>
    <mergeCell ref="J7:K7"/>
    <mergeCell ref="B11:K11"/>
    <mergeCell ref="G25:I26"/>
    <mergeCell ref="G27:J27"/>
    <mergeCell ref="B2:K4"/>
    <mergeCell ref="E46:G49"/>
    <mergeCell ref="C7:G7"/>
    <mergeCell ref="I8:K8"/>
    <mergeCell ref="C8:G8"/>
    <mergeCell ref="K50:K51"/>
    <mergeCell ref="G28:J28"/>
    <mergeCell ref="B12:J19"/>
    <mergeCell ref="K12:K19"/>
    <mergeCell ref="D35:J37"/>
    <mergeCell ref="C35:C37"/>
    <mergeCell ref="B35:B37"/>
    <mergeCell ref="K35:K37"/>
    <mergeCell ref="B45:D45"/>
    <mergeCell ref="B107:D108"/>
    <mergeCell ref="E104:F104"/>
    <mergeCell ref="E105:F105"/>
    <mergeCell ref="E107:F107"/>
    <mergeCell ref="E108:F108"/>
    <mergeCell ref="B97:D97"/>
    <mergeCell ref="B104:D105"/>
    <mergeCell ref="B80:D81"/>
    <mergeCell ref="B82:D82"/>
    <mergeCell ref="E82:G82"/>
    <mergeCell ref="E83:G87"/>
    <mergeCell ref="E91:G94"/>
    <mergeCell ref="B88:D89"/>
    <mergeCell ref="E88:G89"/>
    <mergeCell ref="B101:D102"/>
    <mergeCell ref="E101:F101"/>
    <mergeCell ref="E102:F102"/>
    <mergeCell ref="J88:J89"/>
    <mergeCell ref="K80:K81"/>
    <mergeCell ref="J73:J74"/>
    <mergeCell ref="K73:K74"/>
    <mergeCell ref="E62:G65"/>
    <mergeCell ref="E68:G68"/>
    <mergeCell ref="B66:D67"/>
    <mergeCell ref="E66:G67"/>
    <mergeCell ref="H66:H67"/>
    <mergeCell ref="H80:H81"/>
    <mergeCell ref="B73:D74"/>
    <mergeCell ref="E73:G74"/>
    <mergeCell ref="H73:H74"/>
    <mergeCell ref="I73:I74"/>
    <mergeCell ref="E80:G81"/>
    <mergeCell ref="B75:D75"/>
    <mergeCell ref="E75:G75"/>
    <mergeCell ref="J80:J81"/>
    <mergeCell ref="E76:G79"/>
    <mergeCell ref="E69:G72"/>
    <mergeCell ref="K66:K67"/>
    <mergeCell ref="C9:H10"/>
    <mergeCell ref="Q24:V25"/>
    <mergeCell ref="X25:AC25"/>
    <mergeCell ref="L104:M104"/>
    <mergeCell ref="L103:M103"/>
    <mergeCell ref="N104:O104"/>
    <mergeCell ref="N47:O47"/>
    <mergeCell ref="I9:K10"/>
    <mergeCell ref="G32:I32"/>
    <mergeCell ref="G33:I33"/>
    <mergeCell ref="G29:J29"/>
    <mergeCell ref="I80:I81"/>
    <mergeCell ref="I104:K105"/>
    <mergeCell ref="K88:K89"/>
    <mergeCell ref="H88:H89"/>
    <mergeCell ref="B95:K96"/>
    <mergeCell ref="E98:I98"/>
    <mergeCell ref="E99:I99"/>
    <mergeCell ref="B90:D90"/>
    <mergeCell ref="E90:G90"/>
    <mergeCell ref="E97:I97"/>
    <mergeCell ref="B98:D98"/>
    <mergeCell ref="B99:D99"/>
    <mergeCell ref="I88:I89"/>
  </mergeCells>
  <phoneticPr fontId="0" type="noConversion"/>
  <conditionalFormatting sqref="G21:K21">
    <cfRule type="expression" dxfId="0" priority="1">
      <formula>$G$21&lt;&gt;""</formula>
    </cfRule>
  </conditionalFormatting>
  <printOptions horizontalCentered="1"/>
  <pageMargins left="0" right="0" top="0.51181102362204722" bottom="0.9055118110236221" header="0.51181102362204722" footer="0.51181102362204722"/>
  <pageSetup paperSize="9" scale="95" orientation="portrait" r:id="rId1"/>
  <headerFooter alignWithMargins="0">
    <oddFooter>&amp;L&amp;Z&amp;F&amp;R&amp;D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59C3-EDDE-4700-ACC6-A510DC093A0D}">
  <sheetPr codeName="Foglio4"/>
  <dimension ref="A1:M29"/>
  <sheetViews>
    <sheetView showGridLines="0" showRowColHeaders="0" topLeftCell="A30" workbookViewId="0">
      <selection activeCell="J92" sqref="J92"/>
    </sheetView>
  </sheetViews>
  <sheetFormatPr defaultRowHeight="13.2" x14ac:dyDescent="0.25"/>
  <cols>
    <col min="1" max="1" width="11" customWidth="1"/>
    <col min="4" max="4" width="29.44140625" customWidth="1"/>
    <col min="7" max="7" width="12.5546875" customWidth="1"/>
    <col min="8" max="8" width="13.33203125" customWidth="1"/>
    <col min="9" max="9" width="12.109375" customWidth="1"/>
    <col min="10" max="10" width="11.88671875" customWidth="1"/>
  </cols>
  <sheetData>
    <row r="1" spans="1:12" ht="17.399999999999999" hidden="1" x14ac:dyDescent="0.3">
      <c r="A1" s="23"/>
      <c r="B1" s="24"/>
      <c r="C1" s="24"/>
      <c r="D1" s="25"/>
      <c r="E1" s="26"/>
      <c r="F1" s="27"/>
      <c r="G1" s="27"/>
      <c r="H1" s="28"/>
      <c r="I1" s="28"/>
      <c r="J1" s="27"/>
    </row>
    <row r="2" spans="1:12" ht="17.399999999999999" hidden="1" x14ac:dyDescent="0.3">
      <c r="A2" s="29" t="s">
        <v>129</v>
      </c>
      <c r="B2" s="30"/>
      <c r="C2" s="31"/>
      <c r="D2" s="32"/>
      <c r="E2" s="31"/>
      <c r="F2" s="33"/>
      <c r="G2" s="34" t="s">
        <v>130</v>
      </c>
      <c r="H2" s="35"/>
      <c r="I2" s="34" t="s">
        <v>131</v>
      </c>
      <c r="J2" s="33"/>
    </row>
    <row r="3" spans="1:12" hidden="1" x14ac:dyDescent="0.25">
      <c r="A3" s="36" t="s">
        <v>132</v>
      </c>
      <c r="B3" s="31" t="s">
        <v>133</v>
      </c>
      <c r="C3" s="31"/>
      <c r="D3" s="31"/>
      <c r="E3" s="31" t="s">
        <v>134</v>
      </c>
      <c r="F3" s="37"/>
      <c r="G3" s="38">
        <v>11.32704</v>
      </c>
      <c r="H3" s="37"/>
      <c r="I3" s="39">
        <v>12.4092</v>
      </c>
      <c r="J3" s="40" t="s">
        <v>135</v>
      </c>
    </row>
    <row r="4" spans="1:12" hidden="1" x14ac:dyDescent="0.25">
      <c r="A4" s="36" t="s">
        <v>136</v>
      </c>
      <c r="B4" s="36" t="s">
        <v>137</v>
      </c>
      <c r="C4" s="36"/>
      <c r="D4" s="36"/>
      <c r="E4" s="36" t="s">
        <v>134</v>
      </c>
      <c r="F4" s="41"/>
      <c r="G4" s="42">
        <v>15.994800000000001</v>
      </c>
      <c r="H4" s="41"/>
      <c r="I4" s="43">
        <v>17.560800000000004</v>
      </c>
      <c r="J4" s="44" t="s">
        <v>138</v>
      </c>
    </row>
    <row r="5" spans="1:12" hidden="1" x14ac:dyDescent="0.25">
      <c r="A5" s="36" t="s">
        <v>139</v>
      </c>
      <c r="B5" s="36" t="s">
        <v>140</v>
      </c>
      <c r="C5" s="36"/>
      <c r="D5" s="36"/>
      <c r="E5" s="36" t="s">
        <v>134</v>
      </c>
      <c r="F5" s="41"/>
      <c r="G5" s="42">
        <v>23.5764</v>
      </c>
      <c r="H5" s="41"/>
      <c r="I5" s="43">
        <v>25.7148</v>
      </c>
      <c r="J5" s="44" t="s">
        <v>141</v>
      </c>
    </row>
    <row r="6" spans="1:12" hidden="1" x14ac:dyDescent="0.25">
      <c r="A6" s="36" t="s">
        <v>142</v>
      </c>
      <c r="B6" s="36" t="s">
        <v>143</v>
      </c>
      <c r="C6" s="36"/>
      <c r="D6" s="36"/>
      <c r="E6" s="36" t="s">
        <v>134</v>
      </c>
      <c r="F6" s="41"/>
      <c r="G6" s="42">
        <v>19.137599999999999</v>
      </c>
      <c r="H6" s="41"/>
      <c r="I6" s="43">
        <v>20.660399999999999</v>
      </c>
      <c r="J6" s="44" t="s">
        <v>144</v>
      </c>
    </row>
    <row r="7" spans="1:12" hidden="1" x14ac:dyDescent="0.25">
      <c r="A7" s="36" t="s">
        <v>145</v>
      </c>
      <c r="B7" s="36" t="s">
        <v>146</v>
      </c>
      <c r="C7" s="36"/>
      <c r="D7" s="36"/>
      <c r="E7" s="36" t="s">
        <v>134</v>
      </c>
      <c r="F7" s="41"/>
      <c r="G7" s="42">
        <v>9.3312000000000008</v>
      </c>
      <c r="H7" s="41"/>
      <c r="I7" s="43">
        <v>10.2492</v>
      </c>
      <c r="J7" s="44" t="s">
        <v>147</v>
      </c>
    </row>
    <row r="8" spans="1:12" hidden="1" x14ac:dyDescent="0.25">
      <c r="A8" s="36" t="s">
        <v>148</v>
      </c>
      <c r="B8" s="36" t="s">
        <v>149</v>
      </c>
      <c r="C8" s="36"/>
      <c r="D8" s="36"/>
      <c r="E8" s="36" t="s">
        <v>134</v>
      </c>
      <c r="F8" s="41"/>
      <c r="G8" s="42">
        <v>6.6420000000000012</v>
      </c>
      <c r="H8" s="41"/>
      <c r="I8" s="45">
        <v>7.5492000000000008</v>
      </c>
      <c r="J8" s="46" t="s">
        <v>150</v>
      </c>
    </row>
    <row r="9" spans="1:12" hidden="1" x14ac:dyDescent="0.25">
      <c r="A9" s="36" t="s">
        <v>151</v>
      </c>
      <c r="B9" s="36" t="s">
        <v>152</v>
      </c>
      <c r="C9" s="36"/>
      <c r="D9" s="36"/>
      <c r="E9" s="36"/>
      <c r="F9" s="41"/>
      <c r="G9" s="42">
        <v>31.551120000000001</v>
      </c>
      <c r="H9" s="36"/>
      <c r="I9" s="31"/>
      <c r="J9" s="36"/>
    </row>
    <row r="10" spans="1:12" hidden="1" x14ac:dyDescent="0.25">
      <c r="A10" s="36" t="s">
        <v>153</v>
      </c>
      <c r="B10" s="36" t="s">
        <v>154</v>
      </c>
      <c r="C10" s="36"/>
      <c r="D10" s="36"/>
      <c r="E10" s="36"/>
      <c r="F10" s="41"/>
      <c r="G10" s="42">
        <v>10.0008</v>
      </c>
      <c r="H10" s="36"/>
      <c r="I10" s="36"/>
      <c r="J10" s="36"/>
    </row>
    <row r="11" spans="1:12" hidden="1" x14ac:dyDescent="0.25">
      <c r="A11" s="36" t="s">
        <v>155</v>
      </c>
      <c r="B11" s="36" t="s">
        <v>156</v>
      </c>
      <c r="C11" s="36"/>
      <c r="D11" s="36"/>
      <c r="E11" s="36" t="s">
        <v>134</v>
      </c>
      <c r="F11" s="41"/>
      <c r="G11" s="42">
        <v>1.3176000000000001</v>
      </c>
      <c r="H11" s="36"/>
      <c r="I11" s="36"/>
      <c r="J11" s="36"/>
    </row>
    <row r="12" spans="1:12" hidden="1" x14ac:dyDescent="0.25">
      <c r="A12" s="36" t="s">
        <v>157</v>
      </c>
      <c r="B12" s="36" t="s">
        <v>158</v>
      </c>
      <c r="C12" s="36"/>
      <c r="D12" s="36"/>
      <c r="E12" s="36" t="s">
        <v>134</v>
      </c>
      <c r="F12" s="41"/>
      <c r="G12" s="47">
        <v>0.64800000000000002</v>
      </c>
      <c r="H12" s="36"/>
      <c r="I12" s="36"/>
      <c r="J12" s="36"/>
    </row>
    <row r="13" spans="1:12" hidden="1" x14ac:dyDescent="0.25">
      <c r="A13" s="36"/>
      <c r="B13" s="36"/>
      <c r="C13" s="36"/>
      <c r="D13" s="36"/>
      <c r="E13" s="36"/>
      <c r="F13" s="36"/>
      <c r="G13" s="31"/>
      <c r="H13" s="36"/>
      <c r="I13" s="36"/>
      <c r="J13" s="36"/>
    </row>
    <row r="14" spans="1:12" hidden="1" x14ac:dyDescent="0.25">
      <c r="A14" s="36" t="s">
        <v>159</v>
      </c>
      <c r="B14" s="48" t="s">
        <v>160</v>
      </c>
      <c r="C14" s="36"/>
      <c r="D14" s="36"/>
      <c r="E14" s="36" t="s">
        <v>134</v>
      </c>
      <c r="F14" s="41"/>
      <c r="G14" s="41">
        <f>5.58*1.2</f>
        <v>6.6959999999999997</v>
      </c>
      <c r="H14" s="49" t="s">
        <v>161</v>
      </c>
      <c r="I14" s="49"/>
      <c r="J14" s="36"/>
    </row>
    <row r="15" spans="1:12" hidden="1" x14ac:dyDescent="0.25">
      <c r="A15" s="36" t="s">
        <v>162</v>
      </c>
      <c r="B15" s="48" t="s">
        <v>163</v>
      </c>
      <c r="C15" s="36"/>
      <c r="D15" s="36"/>
      <c r="E15" s="36" t="s">
        <v>164</v>
      </c>
      <c r="F15" s="41"/>
      <c r="G15" s="41">
        <v>34.6</v>
      </c>
      <c r="H15" s="52" t="s">
        <v>240</v>
      </c>
      <c r="I15" s="52"/>
      <c r="J15" s="53"/>
    </row>
    <row r="16" spans="1:12" hidden="1" x14ac:dyDescent="0.25">
      <c r="A16" s="26"/>
      <c r="B16" s="26"/>
      <c r="C16" s="26"/>
      <c r="D16" s="26"/>
      <c r="E16" s="26"/>
      <c r="F16" s="26"/>
      <c r="G16" s="26"/>
      <c r="H16" s="54"/>
      <c r="I16" s="54"/>
      <c r="J16" s="26"/>
      <c r="K16" s="1"/>
      <c r="L16" s="83"/>
    </row>
    <row r="17" spans="1:13" hidden="1" x14ac:dyDescent="0.25">
      <c r="A17" s="26" t="s">
        <v>208</v>
      </c>
      <c r="B17" s="26" t="s">
        <v>192</v>
      </c>
      <c r="C17" s="26"/>
      <c r="D17" s="26"/>
      <c r="E17" s="26" t="s">
        <v>214</v>
      </c>
      <c r="F17" s="26"/>
      <c r="G17" s="26">
        <v>64.430000000000007</v>
      </c>
      <c r="H17" s="26"/>
      <c r="I17" s="26"/>
      <c r="J17" s="26"/>
      <c r="K17" s="4"/>
      <c r="L17" s="107"/>
      <c r="M17" s="107"/>
    </row>
    <row r="18" spans="1:13" hidden="1" x14ac:dyDescent="0.25">
      <c r="A18" s="26" t="s">
        <v>209</v>
      </c>
      <c r="B18" s="26" t="s">
        <v>193</v>
      </c>
      <c r="C18" s="26"/>
      <c r="D18" s="26"/>
      <c r="E18" s="26" t="s">
        <v>214</v>
      </c>
      <c r="F18" s="26"/>
      <c r="G18" s="26">
        <v>87.17</v>
      </c>
      <c r="H18" s="26"/>
      <c r="I18" s="26"/>
      <c r="J18" s="26"/>
      <c r="K18" s="4"/>
      <c r="L18" s="107"/>
      <c r="M18" s="107"/>
    </row>
    <row r="19" spans="1:13" hidden="1" x14ac:dyDescent="0.25">
      <c r="A19" s="26" t="s">
        <v>196</v>
      </c>
      <c r="B19" s="26" t="s">
        <v>194</v>
      </c>
      <c r="C19" s="26"/>
      <c r="D19" s="50"/>
      <c r="E19" s="51" t="s">
        <v>214</v>
      </c>
      <c r="F19" s="26"/>
      <c r="G19" s="26">
        <v>39.18</v>
      </c>
      <c r="H19" s="50"/>
      <c r="I19" s="50"/>
      <c r="J19" s="50"/>
      <c r="K19" s="4"/>
      <c r="L19" s="107"/>
      <c r="M19" s="107"/>
    </row>
    <row r="20" spans="1:13" hidden="1" x14ac:dyDescent="0.25">
      <c r="A20" s="26" t="s">
        <v>197</v>
      </c>
      <c r="B20" s="26" t="s">
        <v>195</v>
      </c>
      <c r="C20" s="26"/>
      <c r="D20" s="26"/>
      <c r="E20" s="26" t="s">
        <v>214</v>
      </c>
      <c r="F20" s="26"/>
      <c r="G20" s="26">
        <v>58.77</v>
      </c>
      <c r="H20" s="54"/>
      <c r="I20" s="54"/>
      <c r="J20" s="26"/>
      <c r="K20" s="4"/>
      <c r="L20" s="107"/>
      <c r="M20" s="107"/>
    </row>
    <row r="21" spans="1:13" hidden="1" x14ac:dyDescent="0.25">
      <c r="K21" s="4"/>
      <c r="L21" s="107"/>
      <c r="M21" s="107"/>
    </row>
    <row r="22" spans="1:13" hidden="1" x14ac:dyDescent="0.25">
      <c r="A22" s="26" t="s">
        <v>210</v>
      </c>
      <c r="B22" s="26" t="s">
        <v>211</v>
      </c>
      <c r="E22" s="36" t="s">
        <v>134</v>
      </c>
      <c r="F22" s="41"/>
      <c r="G22" s="47">
        <v>16.0596</v>
      </c>
      <c r="K22" s="4"/>
      <c r="L22" s="107"/>
      <c r="M22" s="107"/>
    </row>
    <row r="23" spans="1:13" hidden="1" x14ac:dyDescent="0.25">
      <c r="A23" s="26" t="s">
        <v>212</v>
      </c>
      <c r="B23" s="26" t="s">
        <v>213</v>
      </c>
      <c r="E23" s="36" t="s">
        <v>134</v>
      </c>
      <c r="F23" s="41"/>
      <c r="G23" s="47">
        <v>17.9604</v>
      </c>
      <c r="K23" s="4"/>
      <c r="L23" s="107"/>
      <c r="M23" s="107"/>
    </row>
    <row r="24" spans="1:13" hidden="1" x14ac:dyDescent="0.25"/>
    <row r="25" spans="1:13" hidden="1" x14ac:dyDescent="0.25">
      <c r="A25" s="26" t="s">
        <v>218</v>
      </c>
      <c r="B25" s="26" t="s">
        <v>211</v>
      </c>
      <c r="E25" s="36" t="s">
        <v>134</v>
      </c>
      <c r="F25" s="41"/>
      <c r="G25" s="47">
        <v>17.755200000000002</v>
      </c>
    </row>
    <row r="26" spans="1:13" hidden="1" x14ac:dyDescent="0.25">
      <c r="A26" s="26" t="s">
        <v>219</v>
      </c>
      <c r="B26" s="26" t="s">
        <v>213</v>
      </c>
      <c r="E26" s="36" t="s">
        <v>134</v>
      </c>
      <c r="F26" s="41"/>
      <c r="G26" s="47">
        <v>19.3428</v>
      </c>
    </row>
    <row r="27" spans="1:13" hidden="1" x14ac:dyDescent="0.25"/>
    <row r="28" spans="1:13" hidden="1" x14ac:dyDescent="0.25"/>
    <row r="29" spans="1:13" hidden="1" x14ac:dyDescent="0.25"/>
  </sheetData>
  <sheetProtection algorithmName="SHA-512" hashValue="lgW+oPRTn4W67WqsDvQWr5NQVTCIKax0d4bcngnA9Bgeg3Mfzfcq0tGXzgt6Dfvs/tRUEIkFURrvZPA8VxpJQA==" saltValue="JMkWRc6owJ/pJSJecR5fAg==" spinCount="100000" sheet="1" objects="1" scenarios="1" selectLockedCells="1"/>
  <phoneticPr fontId="3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</vt:lpstr>
      <vt:lpstr>CARTELLINO!Area_stampa</vt:lpstr>
      <vt:lpstr>MODULO!Area_stampa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Rho</dc:creator>
  <cp:lastModifiedBy>Enrico Rho</cp:lastModifiedBy>
  <cp:lastPrinted>2024-04-15T13:08:06Z</cp:lastPrinted>
  <dcterms:created xsi:type="dcterms:W3CDTF">2007-03-19T08:23:39Z</dcterms:created>
  <dcterms:modified xsi:type="dcterms:W3CDTF">2026-03-11T13:01:10Z</dcterms:modified>
</cp:coreProperties>
</file>