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T:\MODULI EXCEL per CLIENTI\"/>
    </mc:Choice>
  </mc:AlternateContent>
  <xr:revisionPtr revIDLastSave="0" documentId="13_ncr:1_{AF659C9B-D47D-4F65-AAD9-90D411237FFA}" xr6:coauthVersionLast="47" xr6:coauthVersionMax="47" xr10:uidLastSave="{00000000-0000-0000-0000-000000000000}"/>
  <workbookProtection workbookAlgorithmName="SHA-512" workbookHashValue="IrTIX59cGe2mZgvlWrqfm0d6r59dm43IRPs5CCOOeF77dWr40zu9FZZc5TQEngO5v27x9T+7+whToQ+YSwCH2Q==" workbookSaltValue="NuitRP5WulcSQSk3rFTjaQ==" workbookSpinCount="100000" lockStructure="1"/>
  <bookViews>
    <workbookView xWindow="28692" yWindow="-3600" windowWidth="29016" windowHeight="16416" xr2:uid="{24314B30-FFA4-476A-A8DD-13267F07D49B}"/>
  </bookViews>
  <sheets>
    <sheet name="MODULO" sheetId="1" r:id="rId1"/>
    <sheet name="DATI" sheetId="2" state="veryHidden" r:id="rId2"/>
    <sheet name="CARTELLINO" sheetId="3" state="veryHidden" r:id="rId3"/>
    <sheet name="netti" sheetId="4" state="veryHidden" r:id="rId4"/>
  </sheets>
  <definedNames>
    <definedName name="_BINARIOcodice">INDEX(DATI!$H$17:$M$17,MATCH(DATI!$K$19,DATI!$H$18:$M$18,0))</definedName>
    <definedName name="_REGOLATORI">INDEX(DATI!$N$17:$O$17,MATCH(DATI!$P$18,DATI!$N$18:$O$18,0))</definedName>
    <definedName name="_TAMPONAMENTI">INDEX(DATI!$A$10:$D$10,MATCH(DATI!$A$8,DATI!$A$9:$D$9,0))</definedName>
    <definedName name="_TRASCINAPORTA">INDEX(DATI!$E$10:$V$10,MATCH(DATI!$E$8,DATI!$E$9:$V$9,0))</definedName>
    <definedName name="_TRASCINAPORTAdx">INDEX(DATI!$K$10:$V$10,MATCH(DATI!$D$49,DATI!$K$9:$V$9,0))</definedName>
    <definedName name="_TRASCINAPORTAsx">INDEX(DATI!$E$10:$P$10,MATCH(DATI!$D$48,DATI!$E$9:$P$9,0))</definedName>
    <definedName name="_VELETTA">INDEX(DATI!$A$11:$D$11,MATCH(DATI!$A$13,DATI!$A$12:$D$12,0))</definedName>
    <definedName name="_VIEeFISSAGGIO">INDEX(DATI!$A$1:$X$1,MATCH(DATI!$AC$9,DATI!$A$2:$X$2,0))</definedName>
    <definedName name="_VISTAINPIANTA">INDEX(DATI!$A$14:$BO$14,MATCH(DATI!$B$26,DATI!$A$15:$BO$15,0))</definedName>
    <definedName name="A">DATI!$A$1:$T$2</definedName>
    <definedName name="_xlnm.Print_Area" localSheetId="2">CARTELLINO!$B$7:$J$95</definedName>
    <definedName name="_xlnm.Print_Area" localSheetId="1">DATI!$P$26</definedName>
    <definedName name="_xlnm.Print_Area" localSheetId="0">MODULO!$B$3:$BX$49</definedName>
    <definedName name="_xlnm.Print_Area" localSheetId="3">netti!$A$80:$L$117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1" l="1"/>
  <c r="BH12" i="1"/>
  <c r="C10" i="3"/>
  <c r="I14" i="3"/>
  <c r="B9" i="3" l="1"/>
  <c r="BO10" i="1"/>
  <c r="BF29" i="1"/>
  <c r="BF10" i="1" l="1"/>
  <c r="G26" i="3" l="1"/>
  <c r="F26" i="3"/>
  <c r="H51" i="3"/>
  <c r="H49" i="3"/>
  <c r="I44" i="3" l="1"/>
  <c r="H12" i="3"/>
  <c r="I51" i="3" l="1"/>
  <c r="L51" i="3" s="1"/>
  <c r="G28" i="3"/>
  <c r="G27" i="3"/>
  <c r="F28" i="3"/>
  <c r="F27" i="3"/>
  <c r="E26" i="3"/>
  <c r="C49" i="2"/>
  <c r="D49" i="2" s="1"/>
  <c r="C48" i="2"/>
  <c r="D48" i="2" s="1"/>
  <c r="J85" i="3"/>
  <c r="E85" i="3"/>
  <c r="J76" i="3"/>
  <c r="H50" i="3"/>
  <c r="E44" i="3"/>
  <c r="K19" i="2" s="1"/>
  <c r="D16" i="3"/>
  <c r="G15" i="3"/>
  <c r="D15" i="3"/>
  <c r="AK10" i="1"/>
  <c r="I50" i="3" l="1"/>
  <c r="H53" i="3"/>
  <c r="J84" i="3"/>
  <c r="L84" i="3" s="1"/>
  <c r="M84" i="3" s="1"/>
  <c r="I60" i="3"/>
  <c r="I65" i="3" s="1"/>
  <c r="I61" i="3"/>
  <c r="I66" i="3" s="1"/>
  <c r="L80" i="3"/>
  <c r="L76" i="3"/>
  <c r="M76" i="3" s="1"/>
  <c r="K88" i="3"/>
  <c r="K89" i="3"/>
  <c r="M89" i="3" s="1"/>
  <c r="K85" i="3"/>
  <c r="L85" i="3" s="1"/>
  <c r="M85" i="3" s="1"/>
  <c r="H71" i="3"/>
  <c r="H61" i="3"/>
  <c r="H70" i="3"/>
  <c r="H60" i="3"/>
  <c r="L49" i="3"/>
  <c r="M49" i="3" s="1"/>
  <c r="D13" i="3"/>
  <c r="N27" i="3"/>
  <c r="N28" i="3" s="1"/>
  <c r="M27" i="3"/>
  <c r="M28" i="3" s="1"/>
  <c r="J78" i="3"/>
  <c r="L78" i="3" s="1"/>
  <c r="M78" i="3" s="1"/>
  <c r="J7" i="2"/>
  <c r="J79" i="3"/>
  <c r="L79" i="3" s="1"/>
  <c r="M79" i="3" s="1"/>
  <c r="J80" i="3"/>
  <c r="J83" i="3"/>
  <c r="L83" i="3" s="1"/>
  <c r="M83" i="3" s="1"/>
  <c r="J77" i="3"/>
  <c r="L77" i="3" s="1"/>
  <c r="M77" i="3" s="1"/>
  <c r="K61" i="3" l="1"/>
  <c r="M80" i="3"/>
  <c r="L61" i="3"/>
  <c r="K60" i="3"/>
  <c r="L60" i="3"/>
  <c r="G29" i="3"/>
  <c r="F29" i="3"/>
  <c r="E29" i="3"/>
  <c r="E30" i="3"/>
  <c r="L30" i="3" s="1"/>
  <c r="M61" i="3" l="1"/>
  <c r="M60" i="3"/>
  <c r="H64" i="3"/>
  <c r="H65" i="3"/>
  <c r="H66" i="3"/>
  <c r="H36" i="3"/>
  <c r="H35" i="3"/>
  <c r="M51" i="3"/>
  <c r="C33" i="3"/>
  <c r="I32" i="3"/>
  <c r="D32" i="3"/>
  <c r="E12" i="3"/>
  <c r="L44" i="3" s="1"/>
  <c r="C12" i="3"/>
  <c r="H44" i="3" s="1"/>
  <c r="N20" i="2" s="1"/>
  <c r="H9" i="3"/>
  <c r="D8" i="3"/>
  <c r="D7" i="3"/>
  <c r="P18" i="2" l="1"/>
  <c r="N19" i="2"/>
  <c r="K44" i="3"/>
  <c r="M44" i="3" s="1"/>
  <c r="F34" i="3"/>
  <c r="E34" i="3"/>
  <c r="M88" i="3"/>
  <c r="K87" i="3"/>
  <c r="M87" i="3" s="1"/>
  <c r="K66" i="3"/>
  <c r="L66" i="3"/>
  <c r="L65" i="3"/>
  <c r="K65" i="3"/>
  <c r="L50" i="3"/>
  <c r="M50" i="3" s="1"/>
  <c r="A22" i="2"/>
  <c r="A21" i="2"/>
  <c r="A20" i="2"/>
  <c r="A19" i="2"/>
  <c r="A18" i="2"/>
  <c r="A25" i="2"/>
  <c r="A24" i="2"/>
  <c r="A23" i="2"/>
  <c r="AJ38" i="1"/>
  <c r="D26" i="2" s="1"/>
  <c r="R14" i="1"/>
  <c r="A13" i="2"/>
  <c r="B48" i="2"/>
  <c r="R25" i="1"/>
  <c r="A8" i="2"/>
  <c r="AC9" i="2"/>
  <c r="B43" i="2"/>
  <c r="N21" i="2" l="1"/>
  <c r="Q21" i="2" s="1"/>
  <c r="D34" i="3"/>
  <c r="Q23" i="3" s="1"/>
  <c r="BF36" i="1" s="1"/>
  <c r="M65" i="3"/>
  <c r="M66" i="3"/>
  <c r="BL12" i="1"/>
  <c r="E27" i="3" s="1"/>
  <c r="H34" i="3"/>
  <c r="J81" i="3"/>
  <c r="L81" i="3" s="1"/>
  <c r="M81" i="3" s="1"/>
  <c r="H59" i="3"/>
  <c r="H69" i="3"/>
  <c r="A26" i="2"/>
  <c r="B26" i="2" s="1"/>
  <c r="O3" i="1" s="1"/>
  <c r="E8" i="2"/>
  <c r="H47" i="3" l="1"/>
  <c r="I71" i="3"/>
  <c r="I35" i="3"/>
  <c r="I36" i="3"/>
  <c r="I34" i="3"/>
  <c r="I70" i="3"/>
  <c r="M34" i="3"/>
  <c r="M36" i="3"/>
  <c r="M35" i="3"/>
  <c r="E18" i="2"/>
  <c r="BS12" i="1" s="1"/>
  <c r="I69" i="3"/>
  <c r="L69" i="3" s="1"/>
  <c r="A45" i="2"/>
  <c r="I48" i="3" l="1"/>
  <c r="M47" i="3"/>
  <c r="I47" i="3"/>
  <c r="K71" i="3"/>
  <c r="L71" i="3"/>
  <c r="K70" i="3"/>
  <c r="L70" i="3"/>
  <c r="BF40" i="1"/>
  <c r="K69" i="3"/>
  <c r="M69" i="3" s="1"/>
  <c r="A44" i="2"/>
  <c r="A43" i="2"/>
  <c r="M70" i="3" l="1"/>
  <c r="M71" i="3"/>
  <c r="E28" i="3"/>
  <c r="J36" i="3" s="1"/>
  <c r="K36" i="3" s="1"/>
  <c r="L36" i="3" s="1"/>
  <c r="L27" i="3" l="1"/>
  <c r="L28" i="3" s="1"/>
  <c r="K28" i="3" s="1"/>
  <c r="BF46" i="1" s="1"/>
  <c r="J35" i="3"/>
  <c r="K35" i="3" s="1"/>
  <c r="L35" i="3" s="1"/>
  <c r="I59" i="3"/>
  <c r="K59" i="3" s="1"/>
  <c r="J34" i="3"/>
  <c r="E39" i="3" s="1"/>
  <c r="I39" i="3" l="1"/>
  <c r="K34" i="3"/>
  <c r="L34" i="3" s="1"/>
  <c r="M37" i="3" s="1"/>
  <c r="I64" i="3"/>
  <c r="L64" i="3" s="1"/>
  <c r="E38" i="3"/>
  <c r="I38" i="3" s="1"/>
  <c r="L59" i="3"/>
  <c r="M59" i="3" s="1"/>
  <c r="K64" i="3" l="1"/>
  <c r="M64" i="3" s="1"/>
  <c r="M90" i="3" s="1"/>
  <c r="BR27" i="1" s="1"/>
  <c r="I40" i="3"/>
  <c r="E40" i="3"/>
  <c r="BF43" i="1" s="1"/>
</calcChain>
</file>

<file path=xl/sharedStrings.xml><?xml version="1.0" encoding="utf-8"?>
<sst xmlns="http://schemas.openxmlformats.org/spreadsheetml/2006/main" count="368" uniqueCount="251">
  <si>
    <t>FINITURA</t>
  </si>
  <si>
    <t>METAL GREY</t>
  </si>
  <si>
    <t>SI</t>
  </si>
  <si>
    <t>VETRO</t>
  </si>
  <si>
    <t>SATINATO EXTRACHIARO LACCATO RAL</t>
  </si>
  <si>
    <t>N°</t>
  </si>
  <si>
    <t>H</t>
  </si>
  <si>
    <t>L</t>
  </si>
  <si>
    <t>NOTE :</t>
  </si>
  <si>
    <t>A</t>
  </si>
  <si>
    <t>B</t>
  </si>
  <si>
    <t>C</t>
  </si>
  <si>
    <t>D</t>
  </si>
  <si>
    <t>E</t>
  </si>
  <si>
    <t>ALLUMINIO ANODIZZATO</t>
  </si>
  <si>
    <t>TRASPARENTE</t>
  </si>
  <si>
    <t>TRASPARENTE EXTRACHIARO</t>
  </si>
  <si>
    <t>RAL 9016 BIANCO OPACO</t>
  </si>
  <si>
    <t>TRASPARENTE EXTRACHIARO LACCATO RAL</t>
  </si>
  <si>
    <t>SATINATO</t>
  </si>
  <si>
    <t>SATINATO FUME'</t>
  </si>
  <si>
    <t>NO</t>
  </si>
  <si>
    <t>SATINATO BRONZO</t>
  </si>
  <si>
    <t>SATINATO EXTRACHIARO</t>
  </si>
  <si>
    <t>FUME'</t>
  </si>
  <si>
    <t>BRONZO</t>
  </si>
  <si>
    <t>FISSAGGIO A PARETE</t>
  </si>
  <si>
    <t>STOPSOL FUME'</t>
  </si>
  <si>
    <t>FISSAGGIO A SOFFITTO</t>
  </si>
  <si>
    <t>STOPSOL BRONZO</t>
  </si>
  <si>
    <t>INCASSATO NEL SOFFITTO</t>
  </si>
  <si>
    <t>3+3 BIANCO LATTE</t>
  </si>
  <si>
    <t>per trascinaporta</t>
  </si>
  <si>
    <t>F</t>
  </si>
  <si>
    <t>T</t>
  </si>
  <si>
    <t>NOT</t>
  </si>
  <si>
    <t>NO TRASC</t>
  </si>
  <si>
    <t>SX</t>
  </si>
  <si>
    <t>DX</t>
  </si>
  <si>
    <t>RIFERIMENTO :</t>
  </si>
  <si>
    <t>RAGIONE SOCIALE :</t>
  </si>
  <si>
    <t>CITTA' :</t>
  </si>
  <si>
    <t>FINITURA :</t>
  </si>
  <si>
    <t>N° VIE del BINARIO :</t>
  </si>
  <si>
    <t>N° BINARI :</t>
  </si>
  <si>
    <t>N° TAPPI solo SINGOLI :</t>
  </si>
  <si>
    <t>N° TAMPONAMENTI :</t>
  </si>
  <si>
    <t>MONTATE :</t>
  </si>
  <si>
    <t>CON</t>
  </si>
  <si>
    <t>SENZA</t>
  </si>
  <si>
    <t>1VIA1ANTA</t>
  </si>
  <si>
    <t>1VIA2ANTE</t>
  </si>
  <si>
    <t>2VIE2ANTE</t>
  </si>
  <si>
    <t>2VIE3ANTE</t>
  </si>
  <si>
    <t>2VIE4ANTE</t>
  </si>
  <si>
    <t>2VIE2ANTECON</t>
  </si>
  <si>
    <t>2VIE3ANTECON</t>
  </si>
  <si>
    <t>2VIE4ANTECON</t>
  </si>
  <si>
    <t>N° PORTE :</t>
  </si>
  <si>
    <t>DI CUI FISSE :</t>
  </si>
  <si>
    <t>N° TRAVERSI :</t>
  </si>
  <si>
    <t>AMMORTIZZATE :</t>
  </si>
  <si>
    <t>N° TRASCINAPORTA SX :</t>
  </si>
  <si>
    <t>N° TRASCINAPORTA DX :</t>
  </si>
  <si>
    <t>MISURE ANTE e BINARI inserite MANUALMENTE</t>
  </si>
  <si>
    <t>N° MANIGLIE TOTALI :</t>
  </si>
  <si>
    <t>CLIENTE :</t>
  </si>
  <si>
    <t>RIF. :</t>
  </si>
  <si>
    <t>Altezza :</t>
  </si>
  <si>
    <t>Larghezza:</t>
  </si>
  <si>
    <t>Traversino x porta:</t>
  </si>
  <si>
    <t>Tamponamento:</t>
  </si>
  <si>
    <t>Note :</t>
  </si>
  <si>
    <t>Kg porta con Vetro</t>
  </si>
  <si>
    <t>PROFILO</t>
  </si>
  <si>
    <t>Kg porta con Pannello</t>
  </si>
  <si>
    <t>PANNELLO</t>
  </si>
  <si>
    <t>PR957000042ZZ</t>
  </si>
  <si>
    <t>TOTALE</t>
  </si>
  <si>
    <t>Descrizione Profili</t>
  </si>
  <si>
    <t>Codice</t>
  </si>
  <si>
    <t>N° Pezzi</t>
  </si>
  <si>
    <t>Taglio  mm</t>
  </si>
  <si>
    <t>PR957000041ZZ</t>
  </si>
  <si>
    <t>Binario</t>
  </si>
  <si>
    <t>Veletta SENZA FORI FRONT.</t>
  </si>
  <si>
    <t>PR957000043A</t>
  </si>
  <si>
    <t>Barra di fissaggio CON FORI</t>
  </si>
  <si>
    <t>Traversino SUP. / INF.</t>
  </si>
  <si>
    <t>PR957000039A</t>
  </si>
  <si>
    <t>Traversino CENTRALE</t>
  </si>
  <si>
    <t>PR957000033A</t>
  </si>
  <si>
    <t>Montante</t>
  </si>
  <si>
    <t>PR957000031B</t>
  </si>
  <si>
    <t>Accessori</t>
  </si>
  <si>
    <t>Descrizione</t>
  </si>
  <si>
    <t>PS65MA70020002</t>
  </si>
  <si>
    <t>Maniglia</t>
  </si>
  <si>
    <t>PS65KS8B01</t>
  </si>
  <si>
    <t>Confezione Pattini</t>
  </si>
  <si>
    <t>PS65CS4001</t>
  </si>
  <si>
    <t>Confezione squadrette in zama per assemblaggio porta</t>
  </si>
  <si>
    <t>PS65PI1001</t>
  </si>
  <si>
    <t>Guida inferiore regolabile (perno a terra)</t>
  </si>
  <si>
    <t>PS65CO70030001</t>
  </si>
  <si>
    <t>PS65KM400001</t>
  </si>
  <si>
    <t>Inserti in zama per montaggio traversino centrale</t>
  </si>
  <si>
    <t>PS65KD8LN40M30000</t>
  </si>
  <si>
    <t>Ammortizzatore</t>
  </si>
  <si>
    <t>PS65FE8B01</t>
  </si>
  <si>
    <t xml:space="preserve">Fermo in plastica </t>
  </si>
  <si>
    <t>DATA  :</t>
  </si>
  <si>
    <t>TAPPI SINGOLI</t>
  </si>
  <si>
    <t>N° vetri</t>
  </si>
  <si>
    <t>Lunghezza BINARI</t>
  </si>
  <si>
    <t>Numero Ante :</t>
  </si>
  <si>
    <t>Dimensione Porte</t>
  </si>
  <si>
    <t>N° VIE :</t>
  </si>
  <si>
    <t>N° ANTE SCORREVOLI :</t>
  </si>
  <si>
    <t>N° ANTE FISSE :</t>
  </si>
  <si>
    <t>Finitura ANTE :</t>
  </si>
  <si>
    <t>N° VELETTE DI COPERTURA A VISTA :</t>
  </si>
  <si>
    <t>FINITURA BINARI :</t>
  </si>
  <si>
    <t>FINITURA ANTE :</t>
  </si>
  <si>
    <t>DIMENSIONI</t>
  </si>
  <si>
    <t>tipo A</t>
  </si>
  <si>
    <t>tipo B</t>
  </si>
  <si>
    <t>tipo C</t>
  </si>
  <si>
    <t xml:space="preserve">tipo A </t>
  </si>
  <si>
    <t xml:space="preserve">tipo B </t>
  </si>
  <si>
    <t xml:space="preserve">tipo C </t>
  </si>
  <si>
    <t>VETRI :</t>
  </si>
  <si>
    <t>PS65PI1003 / Trascinaporta SX</t>
  </si>
  <si>
    <t>PS65PI1005 / Trascinaporta DX</t>
  </si>
  <si>
    <t>PORTE SCORREVOLI PS 65  ( scrivere MISURE in mm )</t>
  </si>
  <si>
    <t>SPECCHIO FUME'</t>
  </si>
  <si>
    <t>SPECCHIO BRONZO</t>
  </si>
  <si>
    <t>a)</t>
  </si>
  <si>
    <t>b)</t>
  </si>
  <si>
    <t>c)</t>
  </si>
  <si>
    <t>MQ</t>
  </si>
  <si>
    <t>LIMITE</t>
  </si>
  <si>
    <t>spessore vetri :</t>
  </si>
  <si>
    <r>
      <rPr>
        <sz val="11"/>
        <color theme="1"/>
        <rFont val="Calibri"/>
        <family val="2"/>
      </rPr>
      <t xml:space="preserve">€ NETTO </t>
    </r>
    <r>
      <rPr>
        <sz val="11"/>
        <color theme="1"/>
        <rFont val="Calibri"/>
        <family val="2"/>
        <scheme val="minor"/>
      </rPr>
      <t>CAD.</t>
    </r>
  </si>
  <si>
    <r>
      <rPr>
        <sz val="11"/>
        <color theme="1"/>
        <rFont val="Calibri"/>
        <family val="2"/>
      </rPr>
      <t xml:space="preserve">€ VETRO </t>
    </r>
    <r>
      <rPr>
        <sz val="11"/>
        <color theme="1"/>
        <rFont val="Calibri"/>
        <family val="2"/>
        <scheme val="minor"/>
      </rPr>
      <t>MQ</t>
    </r>
  </si>
  <si>
    <t>PREZZO VETRI</t>
  </si>
  <si>
    <t>costo</t>
  </si>
  <si>
    <t>PS65B1</t>
  </si>
  <si>
    <t>BINARIO 1 VIA MM.6100</t>
  </si>
  <si>
    <t>mtl</t>
  </si>
  <si>
    <t>PS65B2</t>
  </si>
  <si>
    <t>BINARIO 2 VIE MM.6100</t>
  </si>
  <si>
    <t>PS65P</t>
  </si>
  <si>
    <t>PROFILO FISSAGGIO BINARIO A PARETE mm.3050</t>
  </si>
  <si>
    <t>- senza fori</t>
  </si>
  <si>
    <t>PS65TAP</t>
  </si>
  <si>
    <t>CP. TAPPI X BINARIO 1 VIA</t>
  </si>
  <si>
    <t>cp</t>
  </si>
  <si>
    <t>PS65FP</t>
  </si>
  <si>
    <t>CF. BLOCCAGGIO BINARIO A PARETE (2 VIE)</t>
  </si>
  <si>
    <t>pz</t>
  </si>
  <si>
    <t>PS65T</t>
  </si>
  <si>
    <t>PROFILO TRAVERSO SUP/INF mm.6100</t>
  </si>
  <si>
    <t>PS65T1</t>
  </si>
  <si>
    <t>PROFILO TRAVERSINO CENTRALE mm.6100</t>
  </si>
  <si>
    <t>PS65T1I</t>
  </si>
  <si>
    <t>INSERTO INVISIBILE X MONTAGGIO TRAVERSINO</t>
  </si>
  <si>
    <t>(4 pz. X traverso)</t>
  </si>
  <si>
    <t>PS65TA</t>
  </si>
  <si>
    <t>KIT TAMPONAMENTO LATERALE mm.3000</t>
  </si>
  <si>
    <t>PS65M</t>
  </si>
  <si>
    <t>PROFILO MONTANTE mm.6100</t>
  </si>
  <si>
    <t>PS65CA</t>
  </si>
  <si>
    <t>CP.COPERTURA ANGOLO ( 1 x porta)</t>
  </si>
  <si>
    <t>PS65G</t>
  </si>
  <si>
    <t>GUARNIZIONE PLASTICA mm.3500</t>
  </si>
  <si>
    <t>PS65MA</t>
  </si>
  <si>
    <t xml:space="preserve">MANIGLIA </t>
  </si>
  <si>
    <t>PS65SQ</t>
  </si>
  <si>
    <t>CF. 2 SQUADRETTE (1 cf. x porta/solo sopra)</t>
  </si>
  <si>
    <t>PS65PS</t>
  </si>
  <si>
    <t>CF. PATTINI SUPERIORI (1 x porta)</t>
  </si>
  <si>
    <t>PS65PA</t>
  </si>
  <si>
    <t>PATTINO INFERIORE (1 x porta)</t>
  </si>
  <si>
    <t>PS65PAT</t>
  </si>
  <si>
    <t>PATTINO INFERIORE C/BLOCCAGGIO PORTA</t>
  </si>
  <si>
    <t>(trascina porta)</t>
  </si>
  <si>
    <t>PS65F</t>
  </si>
  <si>
    <t>PS65L</t>
  </si>
  <si>
    <t>CF. ASSEMBLAGGIO ANTA LEGNO</t>
  </si>
  <si>
    <t>PS65D</t>
  </si>
  <si>
    <t>KIT DAMPER C/PIASTRE E VITI (1x porta in apertura)</t>
  </si>
  <si>
    <t>PS65R</t>
  </si>
  <si>
    <t>TORNITO DI REGOLAZIONE (x binario a soffitto)</t>
  </si>
  <si>
    <t>(NON A MAG)</t>
  </si>
  <si>
    <t>(1 via - 2 ogni mt // 2 vie - 4 ogni mt)</t>
  </si>
  <si>
    <t>PS65FS</t>
  </si>
  <si>
    <t>CF. BARRA FILETTATA l.500 + dadi e piastra</t>
  </si>
  <si>
    <t>(x fissaggio binario a soffitto sospeso )</t>
  </si>
  <si>
    <t>PS65TA2</t>
  </si>
  <si>
    <t>CF. BLOCCAGGIO TAMPONAMENTO/VELETTA</t>
  </si>
  <si>
    <t>pz.</t>
  </si>
  <si>
    <t>(in caso di fissaggio binario a soffitto sospeso)</t>
  </si>
  <si>
    <t>PS65TA1</t>
  </si>
  <si>
    <t>GUARNIZIONE C/BIADESIVO mm.3500</t>
  </si>
  <si>
    <t>(per tamponamento/veletta c/binario sospeso)</t>
  </si>
  <si>
    <t>NETTO ALL.</t>
  </si>
  <si>
    <t>NETTO BIANCO</t>
  </si>
  <si>
    <t>NETTO M.G.</t>
  </si>
  <si>
    <t>€ / M</t>
  </si>
  <si>
    <t>€ / cp.</t>
  </si>
  <si>
    <t>€ / TOT.</t>
  </si>
  <si>
    <t>M lineari</t>
  </si>
  <si>
    <t>€ / ALL.</t>
  </si>
  <si>
    <t>€ / GUARN.</t>
  </si>
  <si>
    <t>PREZZI GIA' TEMPERATI O CON PELLICOLA</t>
  </si>
  <si>
    <t>SPECCHIO</t>
  </si>
  <si>
    <t>3+3 ACIDATO</t>
  </si>
  <si>
    <t>3+3 TRASPARENTE</t>
  </si>
  <si>
    <t>SPESSORI mm</t>
  </si>
  <si>
    <t>MONTAGGIO</t>
  </si>
  <si>
    <t>N° ANTE</t>
  </si>
  <si>
    <t>LAVORAZIONE</t>
  </si>
  <si>
    <t>TAMPONAM.</t>
  </si>
  <si>
    <t>LUNGHEZZA mm:</t>
  </si>
  <si>
    <t xml:space="preserve">Confezione copertura angolo in alluminio </t>
  </si>
  <si>
    <t>PREZZO PIENO  TOTALE  :</t>
  </si>
  <si>
    <t>MONT.TRAVERSI</t>
  </si>
  <si>
    <t>N°1 TRAVERSO E' COMPRESO</t>
  </si>
  <si>
    <t>PS65P1</t>
  </si>
  <si>
    <t>FERMO SUPERIORE IN PLASTICA (cad.)</t>
  </si>
  <si>
    <t>CANNETTATO VERTICALE</t>
  </si>
  <si>
    <t>CANNETTATO ORIZZONTALE</t>
  </si>
  <si>
    <t>PS 65</t>
  </si>
  <si>
    <t>NO VETRO, DARE GUARNIZIONE PER SP.5MM</t>
  </si>
  <si>
    <t>NO VETRO, DARE GUARNIZIONE PER SP.6MM</t>
  </si>
  <si>
    <t>NO VETRO, NON DARE GUARNIZIONI PER VETRO</t>
  </si>
  <si>
    <t>aggiornato a Giugno 2022</t>
  </si>
  <si>
    <t>Nel caso di pannelli anziché vetri AGGIUNGERE  2 mm in H  e  2mm in L</t>
  </si>
  <si>
    <t>AL PRONTO :</t>
  </si>
  <si>
    <t>MISURE ANTE in base ad H ed L              su base STANDARD</t>
  </si>
  <si>
    <t>RITIRA CLIENTE</t>
  </si>
  <si>
    <t>CONSEGNA VPA</t>
  </si>
  <si>
    <t>IMBALLO CORRIERE VPA</t>
  </si>
  <si>
    <t>IMBALLO CORRIERE DEL CLIENTE</t>
  </si>
  <si>
    <t>moltiplicatore pezzi</t>
  </si>
  <si>
    <t>n° binari</t>
  </si>
  <si>
    <t>n° regolatori totale</t>
  </si>
  <si>
    <t>€ / cad.</t>
  </si>
  <si>
    <t>PS65 aggiornato per MARZO 2026</t>
  </si>
  <si>
    <t>PS 65 V.9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</si>
</sst>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[Red]\-&quot;€&quot;\ #,##0.00"/>
    <numFmt numFmtId="165" formatCode="0.0"/>
    <numFmt numFmtId="166" formatCode="&quot;€&quot;\ #,##0.00"/>
    <numFmt numFmtId="167" formatCode="#,##0.00\ &quot;€&quot;"/>
  </numFmts>
  <fonts count="45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8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i/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6"/>
      <name val="Times New Roman"/>
      <family val="1"/>
    </font>
    <font>
      <sz val="13"/>
      <name val="Arial"/>
      <family val="2"/>
    </font>
    <font>
      <sz val="16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u/>
      <sz val="20"/>
      <color indexed="10"/>
      <name val="Arial"/>
      <family val="2"/>
    </font>
    <font>
      <b/>
      <u/>
      <sz val="10"/>
      <color indexed="10"/>
      <name val="Arial"/>
      <family val="2"/>
    </font>
    <font>
      <sz val="11"/>
      <color theme="1"/>
      <name val="Calibri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sz val="1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20"/>
      <name val="Arial"/>
      <family val="2"/>
    </font>
    <font>
      <b/>
      <i/>
      <sz val="20"/>
      <name val="Arial"/>
      <family val="2"/>
    </font>
    <font>
      <sz val="14"/>
      <color theme="1"/>
      <name val="Calibri"/>
      <family val="2"/>
      <scheme val="minor"/>
    </font>
    <font>
      <sz val="10.5"/>
      <name val="Arial"/>
      <family val="2"/>
    </font>
    <font>
      <sz val="13"/>
      <color theme="1"/>
      <name val="Calibri"/>
      <family val="2"/>
      <scheme val="minor"/>
    </font>
    <font>
      <sz val="17"/>
      <name val="Times New Roman"/>
      <family val="1"/>
    </font>
    <font>
      <sz val="15"/>
      <color theme="1"/>
      <name val="Times New Roman"/>
      <family val="1"/>
    </font>
    <font>
      <b/>
      <sz val="16"/>
      <color rgb="FFFF000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gradientFill degree="180">
        <stop position="0">
          <color theme="0"/>
        </stop>
        <stop position="1">
          <color rgb="FF99FF66"/>
        </stop>
      </gradient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180">
        <stop position="0">
          <color theme="0" tint="-0.1490218817712943"/>
        </stop>
        <stop position="1">
          <color rgb="FFFFFFFF"/>
        </stop>
      </gradient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3" fillId="0" borderId="0" xfId="0" applyFont="1"/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3" fillId="0" borderId="15" xfId="0" applyFont="1" applyBorder="1"/>
    <xf numFmtId="0" fontId="3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9" xfId="0" applyFont="1" applyBorder="1"/>
    <xf numFmtId="0" fontId="0" fillId="0" borderId="9" xfId="0" applyBorder="1"/>
    <xf numFmtId="0" fontId="0" fillId="0" borderId="19" xfId="0" applyBorder="1"/>
    <xf numFmtId="0" fontId="3" fillId="0" borderId="20" xfId="0" applyFont="1" applyBorder="1"/>
    <xf numFmtId="0" fontId="3" fillId="0" borderId="21" xfId="0" applyFont="1" applyBorder="1"/>
    <xf numFmtId="0" fontId="2" fillId="2" borderId="22" xfId="0" applyFont="1" applyFill="1" applyBorder="1" applyAlignment="1">
      <alignment horizontal="center" vertical="center"/>
    </xf>
    <xf numFmtId="0" fontId="0" fillId="0" borderId="24" xfId="0" applyBorder="1"/>
    <xf numFmtId="0" fontId="0" fillId="0" borderId="7" xfId="0" applyBorder="1"/>
    <xf numFmtId="0" fontId="0" fillId="0" borderId="25" xfId="0" applyBorder="1"/>
    <xf numFmtId="0" fontId="0" fillId="0" borderId="26" xfId="0" applyBorder="1"/>
    <xf numFmtId="49" fontId="3" fillId="4" borderId="0" xfId="0" applyNumberFormat="1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5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/>
    <xf numFmtId="0" fontId="4" fillId="5" borderId="0" xfId="0" applyFont="1" applyFill="1"/>
    <xf numFmtId="165" fontId="4" fillId="0" borderId="0" xfId="0" applyNumberFormat="1" applyFont="1" applyAlignment="1">
      <alignment horizontal="right"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2" fillId="0" borderId="3" xfId="0" applyFont="1" applyBorder="1"/>
    <xf numFmtId="0" fontId="2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6" borderId="0" xfId="0" applyFont="1" applyFill="1" applyAlignment="1">
      <alignment vertical="center"/>
    </xf>
    <xf numFmtId="0" fontId="4" fillId="0" borderId="6" xfId="0" applyFont="1" applyBorder="1" applyAlignment="1">
      <alignment vertical="center"/>
    </xf>
    <xf numFmtId="0" fontId="4" fillId="6" borderId="8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6" borderId="24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6" borderId="28" xfId="0" applyFont="1" applyFill="1" applyBorder="1" applyAlignment="1">
      <alignment vertical="center"/>
    </xf>
    <xf numFmtId="165" fontId="4" fillId="0" borderId="28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0" fontId="14" fillId="6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/>
    <xf numFmtId="0" fontId="4" fillId="0" borderId="0" xfId="0" applyFont="1" applyAlignment="1">
      <alignment horizontal="right" vertical="center"/>
    </xf>
    <xf numFmtId="0" fontId="4" fillId="0" borderId="11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/>
    <xf numFmtId="0" fontId="4" fillId="0" borderId="27" xfId="0" applyFont="1" applyBorder="1"/>
    <xf numFmtId="0" fontId="2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" fillId="7" borderId="0" xfId="0" applyFont="1" applyFill="1"/>
    <xf numFmtId="0" fontId="0" fillId="7" borderId="0" xfId="0" applyFill="1"/>
    <xf numFmtId="0" fontId="5" fillId="7" borderId="0" xfId="0" applyFont="1" applyFill="1" applyAlignment="1">
      <alignment vertical="center"/>
    </xf>
    <xf numFmtId="0" fontId="5" fillId="7" borderId="0" xfId="0" applyFont="1" applyFill="1"/>
    <xf numFmtId="0" fontId="3" fillId="7" borderId="0" xfId="0" applyFont="1" applyFill="1" applyAlignment="1">
      <alignment vertical="center" wrapText="1"/>
    </xf>
    <xf numFmtId="0" fontId="3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5" fillId="7" borderId="0" xfId="0" applyFont="1" applyFill="1" applyAlignment="1">
      <alignment vertical="top"/>
    </xf>
    <xf numFmtId="0" fontId="2" fillId="7" borderId="0" xfId="0" applyFont="1" applyFill="1" applyAlignment="1">
      <alignment vertical="top"/>
    </xf>
    <xf numFmtId="0" fontId="5" fillId="7" borderId="0" xfId="0" applyFont="1" applyFill="1" applyAlignment="1">
      <alignment vertical="top" wrapText="1"/>
    </xf>
    <xf numFmtId="0" fontId="0" fillId="5" borderId="7" xfId="0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5" borderId="7" xfId="0" applyFont="1" applyFill="1" applyBorder="1"/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25" fillId="9" borderId="44" xfId="0" applyFont="1" applyFill="1" applyBorder="1"/>
    <xf numFmtId="0" fontId="3" fillId="9" borderId="44" xfId="0" applyFont="1" applyFill="1" applyBorder="1"/>
    <xf numFmtId="0" fontId="26" fillId="9" borderId="44" xfId="0" applyFont="1" applyFill="1" applyBorder="1" applyAlignment="1">
      <alignment horizontal="center"/>
    </xf>
    <xf numFmtId="0" fontId="14" fillId="9" borderId="44" xfId="0" applyFont="1" applyFill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4" fillId="0" borderId="44" xfId="0" applyFont="1" applyBorder="1"/>
    <xf numFmtId="0" fontId="25" fillId="10" borderId="0" xfId="0" applyFont="1" applyFill="1"/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45" xfId="0" applyFont="1" applyBorder="1"/>
    <xf numFmtId="166" fontId="3" fillId="0" borderId="45" xfId="0" applyNumberFormat="1" applyFont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6" fillId="0" borderId="45" xfId="0" applyFont="1" applyBorder="1"/>
    <xf numFmtId="166" fontId="3" fillId="0" borderId="45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26" fillId="0" borderId="47" xfId="0" applyFont="1" applyBorder="1"/>
    <xf numFmtId="0" fontId="26" fillId="0" borderId="0" xfId="0" applyFont="1"/>
    <xf numFmtId="0" fontId="26" fillId="0" borderId="48" xfId="0" applyFont="1" applyBorder="1"/>
    <xf numFmtId="166" fontId="3" fillId="0" borderId="0" xfId="0" applyNumberFormat="1" applyFont="1" applyAlignment="1">
      <alignment horizontal="center"/>
    </xf>
    <xf numFmtId="0" fontId="3" fillId="0" borderId="49" xfId="0" quotePrefix="1" applyFont="1" applyBorder="1"/>
    <xf numFmtId="0" fontId="3" fillId="0" borderId="50" xfId="0" applyFont="1" applyBorder="1" applyAlignment="1">
      <alignment horizontal="center"/>
    </xf>
    <xf numFmtId="0" fontId="4" fillId="0" borderId="51" xfId="0" applyFont="1" applyBorder="1"/>
    <xf numFmtId="0" fontId="14" fillId="0" borderId="0" xfId="0" applyFont="1" applyAlignment="1">
      <alignment horizontal="center" vertical="center"/>
    </xf>
    <xf numFmtId="166" fontId="3" fillId="0" borderId="52" xfId="0" applyNumberFormat="1" applyFont="1" applyBorder="1" applyAlignment="1">
      <alignment horizontal="center"/>
    </xf>
    <xf numFmtId="166" fontId="3" fillId="0" borderId="53" xfId="0" applyNumberFormat="1" applyFont="1" applyBorder="1" applyAlignment="1">
      <alignment horizontal="center"/>
    </xf>
    <xf numFmtId="0" fontId="4" fillId="0" borderId="29" xfId="0" applyFont="1" applyBorder="1"/>
    <xf numFmtId="0" fontId="3" fillId="0" borderId="53" xfId="0" applyFont="1" applyBorder="1" applyAlignment="1">
      <alignment horizontal="left"/>
    </xf>
    <xf numFmtId="0" fontId="3" fillId="0" borderId="53" xfId="0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0" fontId="3" fillId="0" borderId="50" xfId="0" quotePrefix="1" applyFont="1" applyBorder="1"/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5" borderId="0" xfId="0" applyFont="1" applyFill="1"/>
    <xf numFmtId="0" fontId="12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5" borderId="7" xfId="0" applyFont="1" applyFill="1" applyBorder="1"/>
    <xf numFmtId="49" fontId="4" fillId="0" borderId="0" xfId="0" applyNumberFormat="1" applyFont="1"/>
    <xf numFmtId="0" fontId="2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5" borderId="24" xfId="0" applyFill="1" applyBorder="1" applyAlignment="1">
      <alignment horizontal="center" vertical="center"/>
    </xf>
    <xf numFmtId="2" fontId="0" fillId="5" borderId="24" xfId="0" applyNumberFormat="1" applyFill="1" applyBorder="1" applyAlignment="1">
      <alignment horizontal="center" vertical="center"/>
    </xf>
    <xf numFmtId="2" fontId="0" fillId="5" borderId="24" xfId="0" applyNumberForma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7" fillId="11" borderId="0" xfId="0" applyFont="1" applyFill="1" applyAlignment="1">
      <alignment horizontal="left"/>
    </xf>
    <xf numFmtId="0" fontId="27" fillId="9" borderId="0" xfId="0" applyFont="1" applyFill="1"/>
    <xf numFmtId="0" fontId="28" fillId="9" borderId="0" xfId="0" applyFont="1" applyFill="1"/>
    <xf numFmtId="0" fontId="27" fillId="9" borderId="0" xfId="0" applyFont="1" applyFill="1" applyAlignment="1">
      <alignment horizontal="left"/>
    </xf>
    <xf numFmtId="0" fontId="27" fillId="12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10" xfId="0" applyFill="1" applyBorder="1"/>
    <xf numFmtId="0" fontId="0" fillId="5" borderId="57" xfId="0" applyFill="1" applyBorder="1"/>
    <xf numFmtId="0" fontId="4" fillId="0" borderId="13" xfId="0" applyFont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4" fillId="5" borderId="12" xfId="0" applyFont="1" applyFill="1" applyBorder="1"/>
    <xf numFmtId="0" fontId="0" fillId="0" borderId="61" xfId="0" applyBorder="1" applyAlignment="1">
      <alignment horizontal="center" vertical="center"/>
    </xf>
    <xf numFmtId="49" fontId="0" fillId="5" borderId="0" xfId="0" applyNumberFormat="1" applyFill="1"/>
    <xf numFmtId="0" fontId="12" fillId="5" borderId="0" xfId="0" applyFont="1" applyFill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31" fillId="5" borderId="7" xfId="0" applyFont="1" applyFill="1" applyBorder="1"/>
    <xf numFmtId="0" fontId="8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13" fillId="0" borderId="0" xfId="0" applyFont="1"/>
    <xf numFmtId="0" fontId="14" fillId="0" borderId="0" xfId="0" applyFont="1"/>
    <xf numFmtId="9" fontId="0" fillId="0" borderId="0" xfId="0" applyNumberFormat="1"/>
    <xf numFmtId="2" fontId="14" fillId="0" borderId="0" xfId="0" applyNumberFormat="1" applyFont="1"/>
    <xf numFmtId="9" fontId="14" fillId="0" borderId="0" xfId="0" applyNumberFormat="1" applyFont="1"/>
    <xf numFmtId="164" fontId="14" fillId="0" borderId="0" xfId="0" applyNumberFormat="1" applyFont="1"/>
    <xf numFmtId="0" fontId="23" fillId="0" borderId="0" xfId="0" applyFont="1"/>
    <xf numFmtId="0" fontId="21" fillId="8" borderId="26" xfId="0" applyFont="1" applyFill="1" applyBorder="1" applyAlignment="1">
      <alignment horizontal="left" vertical="center"/>
    </xf>
    <xf numFmtId="0" fontId="3" fillId="0" borderId="45" xfId="0" applyFont="1" applyBorder="1" applyProtection="1">
      <protection locked="0"/>
    </xf>
    <xf numFmtId="0" fontId="3" fillId="0" borderId="45" xfId="0" quotePrefix="1" applyFont="1" applyBorder="1" applyProtection="1">
      <protection locked="0"/>
    </xf>
    <xf numFmtId="49" fontId="12" fillId="5" borderId="7" xfId="0" applyNumberFormat="1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56" xfId="0" applyFill="1" applyBorder="1"/>
    <xf numFmtId="0" fontId="0" fillId="5" borderId="58" xfId="0" applyFill="1" applyBorder="1" applyAlignment="1">
      <alignment vertical="center"/>
    </xf>
    <xf numFmtId="0" fontId="6" fillId="2" borderId="58" xfId="0" applyFont="1" applyFill="1" applyBorder="1" applyAlignment="1">
      <alignment horizontal="left" vertical="center"/>
    </xf>
    <xf numFmtId="0" fontId="6" fillId="2" borderId="60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6" fillId="2" borderId="59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4" fillId="5" borderId="23" xfId="0" applyFont="1" applyFill="1" applyBorder="1"/>
    <xf numFmtId="0" fontId="0" fillId="5" borderId="14" xfId="0" applyFill="1" applyBorder="1" applyAlignment="1">
      <alignment vertical="center"/>
    </xf>
    <xf numFmtId="0" fontId="6" fillId="2" borderId="56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5" borderId="10" xfId="0" applyFont="1" applyFill="1" applyBorder="1"/>
    <xf numFmtId="0" fontId="0" fillId="0" borderId="57" xfId="0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4" fontId="15" fillId="0" borderId="30" xfId="0" applyNumberFormat="1" applyFont="1" applyBorder="1" applyProtection="1">
      <protection locked="0"/>
    </xf>
    <xf numFmtId="166" fontId="3" fillId="9" borderId="53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vertical="center"/>
    </xf>
    <xf numFmtId="0" fontId="3" fillId="0" borderId="31" xfId="0" applyFont="1" applyBorder="1" applyAlignment="1">
      <alignment horizontal="right" vertical="center"/>
    </xf>
    <xf numFmtId="0" fontId="33" fillId="13" borderId="0" xfId="0" applyFont="1" applyFill="1" applyAlignment="1">
      <alignment horizontal="center" wrapText="1"/>
    </xf>
    <xf numFmtId="0" fontId="33" fillId="13" borderId="67" xfId="0" applyFont="1" applyFill="1" applyBorder="1" applyAlignment="1">
      <alignment horizont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39" fillId="0" borderId="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8" fillId="0" borderId="8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167" fontId="32" fillId="0" borderId="3" xfId="0" applyNumberFormat="1" applyFont="1" applyBorder="1" applyAlignment="1">
      <alignment horizontal="center" vertical="center"/>
    </xf>
    <xf numFmtId="167" fontId="32" fillId="0" borderId="4" xfId="0" applyNumberFormat="1" applyFont="1" applyBorder="1" applyAlignment="1">
      <alignment horizontal="center" vertical="center"/>
    </xf>
    <xf numFmtId="167" fontId="32" fillId="0" borderId="1" xfId="0" applyNumberFormat="1" applyFont="1" applyBorder="1" applyAlignment="1">
      <alignment horizontal="center" vertical="center"/>
    </xf>
    <xf numFmtId="167" fontId="32" fillId="0" borderId="6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right" vertical="center" wrapText="1"/>
    </xf>
    <xf numFmtId="0" fontId="30" fillId="0" borderId="3" xfId="0" applyFont="1" applyBorder="1" applyAlignment="1">
      <alignment horizontal="right" vertical="center" wrapText="1"/>
    </xf>
    <xf numFmtId="0" fontId="30" fillId="0" borderId="5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14" fontId="3" fillId="4" borderId="31" xfId="0" applyNumberFormat="1" applyFont="1" applyFill="1" applyBorder="1" applyAlignment="1">
      <alignment horizontal="right" vertical="top"/>
    </xf>
    <xf numFmtId="14" fontId="3" fillId="4" borderId="36" xfId="0" applyNumberFormat="1" applyFont="1" applyFill="1" applyBorder="1" applyAlignment="1">
      <alignment horizontal="center" vertical="center"/>
    </xf>
    <xf numFmtId="14" fontId="3" fillId="4" borderId="65" xfId="0" applyNumberFormat="1" applyFont="1" applyFill="1" applyBorder="1" applyAlignment="1">
      <alignment horizontal="center" vertical="center"/>
    </xf>
    <xf numFmtId="14" fontId="3" fillId="4" borderId="38" xfId="0" applyNumberFormat="1" applyFont="1" applyFill="1" applyBorder="1" applyAlignment="1">
      <alignment horizontal="center" vertical="center"/>
    </xf>
    <xf numFmtId="14" fontId="3" fillId="4" borderId="66" xfId="0" applyNumberFormat="1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49" fontId="5" fillId="4" borderId="31" xfId="0" applyNumberFormat="1" applyFont="1" applyFill="1" applyBorder="1" applyAlignment="1" applyProtection="1">
      <alignment horizontal="center" vertical="center"/>
      <protection locked="0"/>
    </xf>
    <xf numFmtId="49" fontId="3" fillId="4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 applyProtection="1">
      <alignment horizontal="right" vertical="center" wrapText="1"/>
      <protection locked="0"/>
    </xf>
    <xf numFmtId="0" fontId="7" fillId="0" borderId="36" xfId="0" applyFont="1" applyBorder="1" applyAlignment="1" applyProtection="1">
      <alignment horizontal="right" vertical="center" wrapText="1"/>
      <protection locked="0"/>
    </xf>
    <xf numFmtId="0" fontId="7" fillId="0" borderId="33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37" xfId="0" applyFont="1" applyBorder="1" applyAlignment="1" applyProtection="1">
      <alignment horizontal="right" vertical="center" wrapText="1"/>
      <protection locked="0"/>
    </xf>
    <xf numFmtId="0" fontId="7" fillId="0" borderId="38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4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/>
    </xf>
    <xf numFmtId="0" fontId="1" fillId="0" borderId="31" xfId="0" applyFont="1" applyBorder="1" applyAlignment="1" applyProtection="1">
      <alignment horizont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63" xfId="0" applyFont="1" applyFill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36" fillId="0" borderId="3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11" xfId="0" applyFont="1" applyBorder="1" applyAlignment="1">
      <alignment horizontal="center" wrapText="1"/>
    </xf>
    <xf numFmtId="0" fontId="2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49" fontId="3" fillId="4" borderId="36" xfId="0" applyNumberFormat="1" applyFont="1" applyFill="1" applyBorder="1" applyAlignment="1">
      <alignment horizontal="center" vertical="center"/>
    </xf>
    <xf numFmtId="49" fontId="3" fillId="4" borderId="65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49" fontId="3" fillId="4" borderId="66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4" fillId="6" borderId="0" xfId="0" applyFont="1" applyFill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left" vertical="center"/>
    </xf>
    <xf numFmtId="0" fontId="37" fillId="0" borderId="25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8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top"/>
    </xf>
    <xf numFmtId="0" fontId="44" fillId="0" borderId="5" xfId="0" applyFont="1" applyBorder="1" applyAlignment="1">
      <alignment horizontal="center" vertical="top"/>
    </xf>
    <xf numFmtId="0" fontId="32" fillId="0" borderId="0" xfId="0" applyFont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5" borderId="6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2" fillId="6" borderId="24" xfId="0" applyFont="1" applyFill="1" applyBorder="1" applyAlignment="1">
      <alignment horizontal="right" vertical="center"/>
    </xf>
    <xf numFmtId="0" fontId="2" fillId="6" borderId="27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</cellXfs>
  <cellStyles count="1">
    <cellStyle name="Normale" xfId="0" builtinId="0"/>
  </cellStyles>
  <dxfs count="62"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 patternType="solid">
          <fgColor auto="1"/>
          <bgColor rgb="FFFFFFFF"/>
        </patternFill>
      </fill>
    </dxf>
    <dxf>
      <fill>
        <patternFill>
          <bgColor rgb="FFFFFFFF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gradientFill degree="45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rgb="FFFFFF00"/>
          </stop>
          <stop position="1">
            <color rgb="FFFF0000"/>
          </stop>
        </gradientFill>
      </fill>
    </dxf>
    <dxf>
      <font>
        <strike val="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strike val="0"/>
      </font>
      <fill>
        <gradientFill degree="270">
          <stop position="0">
            <color rgb="FFFFFF00"/>
          </stop>
          <stop position="1">
            <color rgb="FFFF0000"/>
          </stop>
        </gradientFill>
      </fill>
    </dxf>
    <dxf>
      <fill>
        <gradientFill degree="90">
          <stop position="0">
            <color rgb="FFFFFF00"/>
          </stop>
          <stop position="1">
            <color rgb="FFFF0000"/>
          </stop>
        </gradientFill>
      </fill>
      <border>
        <bottom style="thin">
          <color auto="1"/>
        </bottom>
      </border>
    </dxf>
    <dxf>
      <fill>
        <gradientFill degree="270">
          <stop position="0">
            <color rgb="FFFFFF00"/>
          </stop>
          <stop position="1">
            <color rgb="FFFF0000"/>
          </stop>
        </gradientFill>
      </fill>
      <border>
        <bottom style="thin">
          <color auto="1"/>
        </bottom>
      </border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ont>
        <strike val="0"/>
      </font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9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ont>
        <strike val="0"/>
      </font>
      <fill>
        <gradientFill type="path" left="0.5" right="0.5" top="0.5" bottom="0.5">
          <stop position="0">
            <color rgb="FFFFFFFF"/>
          </stop>
          <stop position="1">
            <color rgb="FF99FF66"/>
          </stop>
        </gradientFill>
      </fill>
    </dxf>
    <dxf>
      <fill>
        <gradientFill degree="180">
          <stop position="0">
            <color theme="0"/>
          </stop>
          <stop position="1">
            <color rgb="FF99FF66"/>
          </stop>
        </gradient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FF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32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23" Type="http://schemas.openxmlformats.org/officeDocument/2006/relationships/image" Target="../media/image34.jpe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Relationship Id="rId22" Type="http://schemas.openxmlformats.org/officeDocument/2006/relationships/image" Target="../media/image3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emf"/><Relationship Id="rId3" Type="http://schemas.openxmlformats.org/officeDocument/2006/relationships/image" Target="../media/image37.png"/><Relationship Id="rId7" Type="http://schemas.openxmlformats.org/officeDocument/2006/relationships/image" Target="../media/image40.emf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2.emf"/><Relationship Id="rId5" Type="http://schemas.openxmlformats.org/officeDocument/2006/relationships/image" Target="../media/image39.emf"/><Relationship Id="rId4" Type="http://schemas.openxmlformats.org/officeDocument/2006/relationships/image" Target="../media/image3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3.emf"/><Relationship Id="rId2" Type="http://schemas.openxmlformats.org/officeDocument/2006/relationships/image" Target="../media/image7.emf"/><Relationship Id="rId1" Type="http://schemas.openxmlformats.org/officeDocument/2006/relationships/image" Target="../media/image42.emf"/><Relationship Id="rId4" Type="http://schemas.openxmlformats.org/officeDocument/2006/relationships/image" Target="../media/image4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86562</xdr:colOff>
      <xdr:row>2</xdr:row>
      <xdr:rowOff>8283</xdr:rowOff>
    </xdr:from>
    <xdr:to>
      <xdr:col>12</xdr:col>
      <xdr:colOff>24856</xdr:colOff>
      <xdr:row>3</xdr:row>
      <xdr:rowOff>229940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31803A7F-CAE4-4982-9741-E2C1711D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18182" b="20454"/>
        <a:stretch>
          <a:fillRect/>
        </a:stretch>
      </xdr:blipFill>
      <xdr:spPr bwMode="auto">
        <a:xfrm>
          <a:off x="2944062" y="173935"/>
          <a:ext cx="1097860" cy="47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28574</xdr:colOff>
          <xdr:row>28</xdr:row>
          <xdr:rowOff>57150</xdr:rowOff>
        </xdr:from>
        <xdr:to>
          <xdr:col>39</xdr:col>
          <xdr:colOff>29403</xdr:colOff>
          <xdr:row>37</xdr:row>
          <xdr:rowOff>0</xdr:rowOff>
        </xdr:to>
        <xdr:pic>
          <xdr:nvPicPr>
            <xdr:cNvPr id="3" name="Immagine 37">
              <a:extLst>
                <a:ext uri="{FF2B5EF4-FFF2-40B4-BE49-F238E27FC236}">
                  <a16:creationId xmlns:a16="http://schemas.microsoft.com/office/drawing/2014/main" id="{983C4576-1E1C-4FA0-9809-47CFF5DE6E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TRASCINAPORTA" spid="_x0000_s172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625422" y="3767759"/>
              <a:ext cx="2531994" cy="11355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11</xdr:row>
          <xdr:rowOff>24848</xdr:rowOff>
        </xdr:from>
        <xdr:to>
          <xdr:col>56</xdr:col>
          <xdr:colOff>85723</xdr:colOff>
          <xdr:row>36</xdr:row>
          <xdr:rowOff>125895</xdr:rowOff>
        </xdr:to>
        <xdr:pic>
          <xdr:nvPicPr>
            <xdr:cNvPr id="9" name="Immagine 8">
              <a:extLst>
                <a:ext uri="{FF2B5EF4-FFF2-40B4-BE49-F238E27FC236}">
                  <a16:creationId xmlns:a16="http://schemas.microsoft.com/office/drawing/2014/main" id="{EEA3781D-F270-40B1-9200-899E13A2B32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_VIEeFISSAGGIO" spid="_x0000_s1722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185991" y="1482587"/>
              <a:ext cx="2018885" cy="34140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17</xdr:row>
          <xdr:rowOff>9525</xdr:rowOff>
        </xdr:from>
        <xdr:to>
          <xdr:col>26</xdr:col>
          <xdr:colOff>112643</xdr:colOff>
          <xdr:row>24</xdr:row>
          <xdr:rowOff>24848</xdr:rowOff>
        </xdr:to>
        <xdr:pic>
          <xdr:nvPicPr>
            <xdr:cNvPr id="8" name="Immagine 18">
              <a:extLst>
                <a:ext uri="{FF2B5EF4-FFF2-40B4-BE49-F238E27FC236}">
                  <a16:creationId xmlns:a16="http://schemas.microsoft.com/office/drawing/2014/main" id="{A2F17BC9-6C69-40B9-A576-863D7BF0AB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TAMPONAMENTI" spid="_x0000_s1722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615898" y="2262395"/>
              <a:ext cx="1140515" cy="9429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9523</xdr:colOff>
          <xdr:row>39</xdr:row>
          <xdr:rowOff>28575</xdr:rowOff>
        </xdr:from>
        <xdr:ext cx="6229351" cy="1304925"/>
        <xdr:pic>
          <xdr:nvPicPr>
            <xdr:cNvPr id="13" name="Immagine 44">
              <a:extLst>
                <a:ext uri="{FF2B5EF4-FFF2-40B4-BE49-F238E27FC236}">
                  <a16:creationId xmlns:a16="http://schemas.microsoft.com/office/drawing/2014/main" id="{97B232B9-86FE-4C3C-A873-A5272D00185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VISTAINPIANTA" spid="_x0000_s1722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752848" y="5657850"/>
              <a:ext cx="6229351" cy="1304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19051</xdr:colOff>
          <xdr:row>11</xdr:row>
          <xdr:rowOff>19051</xdr:rowOff>
        </xdr:from>
        <xdr:to>
          <xdr:col>39</xdr:col>
          <xdr:colOff>29403</xdr:colOff>
          <xdr:row>24</xdr:row>
          <xdr:rowOff>445</xdr:rowOff>
        </xdr:to>
        <xdr:pic>
          <xdr:nvPicPr>
            <xdr:cNvPr id="14" name="Immagine 20">
              <a:extLst>
                <a:ext uri="{FF2B5EF4-FFF2-40B4-BE49-F238E27FC236}">
                  <a16:creationId xmlns:a16="http://schemas.microsoft.com/office/drawing/2014/main" id="{0D3B0B73-F25E-407B-8E47-D0358D869D8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VELETTA" spid="_x0000_s172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734176" y="1438276"/>
              <a:ext cx="1247774" cy="17339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9</xdr:row>
      <xdr:rowOff>28575</xdr:rowOff>
    </xdr:from>
    <xdr:to>
      <xdr:col>9</xdr:col>
      <xdr:colOff>495300</xdr:colOff>
      <xdr:row>9</xdr:row>
      <xdr:rowOff>1409700</xdr:rowOff>
    </xdr:to>
    <xdr:pic>
      <xdr:nvPicPr>
        <xdr:cNvPr id="5" name="Immagine 37">
          <a:extLst>
            <a:ext uri="{FF2B5EF4-FFF2-40B4-BE49-F238E27FC236}">
              <a16:creationId xmlns:a16="http://schemas.microsoft.com/office/drawing/2014/main" id="{9B44AB44-99EF-481D-865B-013AC01F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6172200"/>
          <a:ext cx="3495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247650</xdr:colOff>
      <xdr:row>13</xdr:row>
      <xdr:rowOff>47625</xdr:rowOff>
    </xdr:from>
    <xdr:to>
      <xdr:col>47</xdr:col>
      <xdr:colOff>361950</xdr:colOff>
      <xdr:row>13</xdr:row>
      <xdr:rowOff>1609725</xdr:rowOff>
    </xdr:to>
    <xdr:pic>
      <xdr:nvPicPr>
        <xdr:cNvPr id="6" name="Immagine 40">
          <a:extLst>
            <a:ext uri="{FF2B5EF4-FFF2-40B4-BE49-F238E27FC236}">
              <a16:creationId xmlns:a16="http://schemas.microsoft.com/office/drawing/2014/main" id="{9A51C91E-E671-47A1-B06D-7D5934C7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17450" y="9829800"/>
          <a:ext cx="37719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95250</xdr:colOff>
      <xdr:row>13</xdr:row>
      <xdr:rowOff>171450</xdr:rowOff>
    </xdr:from>
    <xdr:to>
      <xdr:col>56</xdr:col>
      <xdr:colOff>514350</xdr:colOff>
      <xdr:row>13</xdr:row>
      <xdr:rowOff>1504950</xdr:rowOff>
    </xdr:to>
    <xdr:pic>
      <xdr:nvPicPr>
        <xdr:cNvPr id="7" name="Immagine 42">
          <a:extLst>
            <a:ext uri="{FF2B5EF4-FFF2-40B4-BE49-F238E27FC236}">
              <a16:creationId xmlns:a16="http://schemas.microsoft.com/office/drawing/2014/main" id="{DC61F3E4-A14B-4676-9587-27220120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0" y="9953625"/>
          <a:ext cx="52959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57</xdr:col>
      <xdr:colOff>200025</xdr:colOff>
      <xdr:row>13</xdr:row>
      <xdr:rowOff>200025</xdr:rowOff>
    </xdr:from>
    <xdr:to>
      <xdr:col>66</xdr:col>
      <xdr:colOff>419100</xdr:colOff>
      <xdr:row>13</xdr:row>
      <xdr:rowOff>1457325</xdr:rowOff>
    </xdr:to>
    <xdr:pic>
      <xdr:nvPicPr>
        <xdr:cNvPr id="8" name="Immagine 44">
          <a:extLst>
            <a:ext uri="{FF2B5EF4-FFF2-40B4-BE49-F238E27FC236}">
              <a16:creationId xmlns:a16="http://schemas.microsoft.com/office/drawing/2014/main" id="{87E42432-267C-4D11-8D57-69143333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3425" y="9982200"/>
          <a:ext cx="57054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13</xdr:row>
      <xdr:rowOff>314325</xdr:rowOff>
    </xdr:from>
    <xdr:to>
      <xdr:col>6</xdr:col>
      <xdr:colOff>514350</xdr:colOff>
      <xdr:row>13</xdr:row>
      <xdr:rowOff>1343025</xdr:rowOff>
    </xdr:to>
    <xdr:pic>
      <xdr:nvPicPr>
        <xdr:cNvPr id="9" name="Immagine 2">
          <a:extLst>
            <a:ext uri="{FF2B5EF4-FFF2-40B4-BE49-F238E27FC236}">
              <a16:creationId xmlns:a16="http://schemas.microsoft.com/office/drawing/2014/main" id="{811EF896-3F23-4AF3-A7DC-DFF5E901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0096500"/>
          <a:ext cx="2647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13</xdr:row>
      <xdr:rowOff>333375</xdr:rowOff>
    </xdr:from>
    <xdr:to>
      <xdr:col>14</xdr:col>
      <xdr:colOff>452804</xdr:colOff>
      <xdr:row>13</xdr:row>
      <xdr:rowOff>1400175</xdr:rowOff>
    </xdr:to>
    <xdr:pic>
      <xdr:nvPicPr>
        <xdr:cNvPr id="10" name="Immagine 6">
          <a:extLst>
            <a:ext uri="{FF2B5EF4-FFF2-40B4-BE49-F238E27FC236}">
              <a16:creationId xmlns:a16="http://schemas.microsoft.com/office/drawing/2014/main" id="{9BF97A50-954E-4C6A-99FD-B24E51FD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0115550"/>
          <a:ext cx="46577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10</xdr:row>
      <xdr:rowOff>171450</xdr:rowOff>
    </xdr:from>
    <xdr:to>
      <xdr:col>10</xdr:col>
      <xdr:colOff>428625</xdr:colOff>
      <xdr:row>10</xdr:row>
      <xdr:rowOff>1419225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72C47FF7-F955-4B2C-B77F-D49BB1EA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7753350"/>
          <a:ext cx="1447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10</xdr:row>
      <xdr:rowOff>0</xdr:rowOff>
    </xdr:from>
    <xdr:to>
      <xdr:col>13</xdr:col>
      <xdr:colOff>438150</xdr:colOff>
      <xdr:row>10</xdr:row>
      <xdr:rowOff>1781175</xdr:rowOff>
    </xdr:to>
    <xdr:pic>
      <xdr:nvPicPr>
        <xdr:cNvPr id="12" name="Immagine 14">
          <a:extLst>
            <a:ext uri="{FF2B5EF4-FFF2-40B4-BE49-F238E27FC236}">
              <a16:creationId xmlns:a16="http://schemas.microsoft.com/office/drawing/2014/main" id="{4700879C-ACB2-4481-A3C9-B04AF6F82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7581900"/>
          <a:ext cx="162877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10</xdr:row>
      <xdr:rowOff>85725</xdr:rowOff>
    </xdr:from>
    <xdr:to>
      <xdr:col>7</xdr:col>
      <xdr:colOff>438150</xdr:colOff>
      <xdr:row>10</xdr:row>
      <xdr:rowOff>1400175</xdr:rowOff>
    </xdr:to>
    <xdr:pic>
      <xdr:nvPicPr>
        <xdr:cNvPr id="13" name="Immagine 16">
          <a:extLst>
            <a:ext uri="{FF2B5EF4-FFF2-40B4-BE49-F238E27FC236}">
              <a16:creationId xmlns:a16="http://schemas.microsoft.com/office/drawing/2014/main" id="{45E5D934-2644-4ABF-A927-689A73C0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7667625"/>
          <a:ext cx="9525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28574</xdr:colOff>
      <xdr:row>9</xdr:row>
      <xdr:rowOff>38100</xdr:rowOff>
    </xdr:from>
    <xdr:to>
      <xdr:col>1</xdr:col>
      <xdr:colOff>539889</xdr:colOff>
      <xdr:row>9</xdr:row>
      <xdr:rowOff>1352550</xdr:rowOff>
    </xdr:to>
    <xdr:pic>
      <xdr:nvPicPr>
        <xdr:cNvPr id="14" name="Immagine 18">
          <a:extLst>
            <a:ext uri="{FF2B5EF4-FFF2-40B4-BE49-F238E27FC236}">
              <a16:creationId xmlns:a16="http://schemas.microsoft.com/office/drawing/2014/main" id="{B2C0466D-FD3D-4B12-AFE4-28B26C69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6181725"/>
          <a:ext cx="115901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10</xdr:row>
      <xdr:rowOff>28575</xdr:rowOff>
    </xdr:from>
    <xdr:to>
      <xdr:col>2</xdr:col>
      <xdr:colOff>395968</xdr:colOff>
      <xdr:row>10</xdr:row>
      <xdr:rowOff>1762125</xdr:rowOff>
    </xdr:to>
    <xdr:pic>
      <xdr:nvPicPr>
        <xdr:cNvPr id="15" name="Immagine 20">
          <a:extLst>
            <a:ext uri="{FF2B5EF4-FFF2-40B4-BE49-F238E27FC236}">
              <a16:creationId xmlns:a16="http://schemas.microsoft.com/office/drawing/2014/main" id="{A42C68DF-4F9D-49A5-82FD-466F879A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10475"/>
          <a:ext cx="1662793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266700</xdr:colOff>
      <xdr:row>13</xdr:row>
      <xdr:rowOff>47625</xdr:rowOff>
    </xdr:from>
    <xdr:to>
      <xdr:col>21</xdr:col>
      <xdr:colOff>381000</xdr:colOff>
      <xdr:row>13</xdr:row>
      <xdr:rowOff>1609725</xdr:rowOff>
    </xdr:to>
    <xdr:pic>
      <xdr:nvPicPr>
        <xdr:cNvPr id="16" name="Immagine 22">
          <a:extLst>
            <a:ext uri="{FF2B5EF4-FFF2-40B4-BE49-F238E27FC236}">
              <a16:creationId xmlns:a16="http://schemas.microsoft.com/office/drawing/2014/main" id="{489F634B-C4FB-4C31-AE09-13ADB19F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9829800"/>
          <a:ext cx="37719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104775</xdr:colOff>
      <xdr:row>13</xdr:row>
      <xdr:rowOff>142875</xdr:rowOff>
    </xdr:from>
    <xdr:to>
      <xdr:col>30</xdr:col>
      <xdr:colOff>523875</xdr:colOff>
      <xdr:row>13</xdr:row>
      <xdr:rowOff>1476375</xdr:rowOff>
    </xdr:to>
    <xdr:pic>
      <xdr:nvPicPr>
        <xdr:cNvPr id="17" name="Immagine 24">
          <a:extLst>
            <a:ext uri="{FF2B5EF4-FFF2-40B4-BE49-F238E27FC236}">
              <a16:creationId xmlns:a16="http://schemas.microsoft.com/office/drawing/2014/main" id="{AF22FC89-390E-4A10-86A1-2B615B15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9925050"/>
          <a:ext cx="52959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171450</xdr:colOff>
      <xdr:row>13</xdr:row>
      <xdr:rowOff>209550</xdr:rowOff>
    </xdr:from>
    <xdr:to>
      <xdr:col>40</xdr:col>
      <xdr:colOff>390525</xdr:colOff>
      <xdr:row>13</xdr:row>
      <xdr:rowOff>1466850</xdr:rowOff>
    </xdr:to>
    <xdr:pic>
      <xdr:nvPicPr>
        <xdr:cNvPr id="18" name="Immagine 26">
          <a:extLst>
            <a:ext uri="{FF2B5EF4-FFF2-40B4-BE49-F238E27FC236}">
              <a16:creationId xmlns:a16="http://schemas.microsoft.com/office/drawing/2014/main" id="{7B2B131F-E02A-4B59-BF6F-DCE29866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9050" y="9991725"/>
          <a:ext cx="57054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85724</xdr:rowOff>
    </xdr:from>
    <xdr:to>
      <xdr:col>3</xdr:col>
      <xdr:colOff>492150</xdr:colOff>
      <xdr:row>0</xdr:row>
      <xdr:rowOff>4552949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F618EA55-02F9-4046-B9BA-7985AC21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4"/>
          <a:ext cx="2340000" cy="44672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114300</xdr:rowOff>
    </xdr:from>
    <xdr:to>
      <xdr:col>7</xdr:col>
      <xdr:colOff>520725</xdr:colOff>
      <xdr:row>0</xdr:row>
      <xdr:rowOff>4555600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F8847305-B619-42BD-B3DC-BC7FEED1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14300"/>
          <a:ext cx="2340000" cy="44413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0</xdr:row>
      <xdr:rowOff>981075</xdr:rowOff>
    </xdr:from>
    <xdr:to>
      <xdr:col>11</xdr:col>
      <xdr:colOff>558825</xdr:colOff>
      <xdr:row>0</xdr:row>
      <xdr:rowOff>4603225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3F374B78-E6E4-4282-95A7-401B089EAB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19"/>
        <a:stretch/>
      </xdr:blipFill>
      <xdr:spPr>
        <a:xfrm>
          <a:off x="4924425" y="981075"/>
          <a:ext cx="2340000" cy="362215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0</xdr:row>
      <xdr:rowOff>66675</xdr:rowOff>
    </xdr:from>
    <xdr:to>
      <xdr:col>15</xdr:col>
      <xdr:colOff>544904</xdr:colOff>
      <xdr:row>0</xdr:row>
      <xdr:rowOff>4543425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E8CEC9C5-E781-425C-962C-5BC69C54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66675"/>
          <a:ext cx="2340000" cy="447675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47626</xdr:colOff>
      <xdr:row>0</xdr:row>
      <xdr:rowOff>990600</xdr:rowOff>
    </xdr:from>
    <xdr:to>
      <xdr:col>19</xdr:col>
      <xdr:colOff>558826</xdr:colOff>
      <xdr:row>0</xdr:row>
      <xdr:rowOff>4552950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B88FFC4C-221E-4CEC-8008-EBE439F2B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63"/>
        <a:stretch/>
      </xdr:blipFill>
      <xdr:spPr>
        <a:xfrm>
          <a:off x="9801226" y="990600"/>
          <a:ext cx="2340000" cy="3562350"/>
        </a:xfrm>
        <a:prstGeom prst="rect">
          <a:avLst/>
        </a:prstGeom>
      </xdr:spPr>
    </xdr:pic>
    <xdr:clientData/>
  </xdr:twoCellAnchor>
  <xdr:oneCellAnchor>
    <xdr:from>
      <xdr:col>16</xdr:col>
      <xdr:colOff>76200</xdr:colOff>
      <xdr:row>9</xdr:row>
      <xdr:rowOff>28575</xdr:rowOff>
    </xdr:from>
    <xdr:ext cx="3505200" cy="1400175"/>
    <xdr:pic>
      <xdr:nvPicPr>
        <xdr:cNvPr id="23" name="Immagine 32">
          <a:extLst>
            <a:ext uri="{FF2B5EF4-FFF2-40B4-BE49-F238E27FC236}">
              <a16:creationId xmlns:a16="http://schemas.microsoft.com/office/drawing/2014/main" id="{24A43884-AB06-4AB7-B48E-62783E17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6172200"/>
          <a:ext cx="35052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266701</xdr:colOff>
      <xdr:row>16</xdr:row>
      <xdr:rowOff>57150</xdr:rowOff>
    </xdr:from>
    <xdr:to>
      <xdr:col>9</xdr:col>
      <xdr:colOff>266701</xdr:colOff>
      <xdr:row>16</xdr:row>
      <xdr:rowOff>738940</xdr:rowOff>
    </xdr:to>
    <xdr:pic>
      <xdr:nvPicPr>
        <xdr:cNvPr id="22" name="Picture 529">
          <a:extLst>
            <a:ext uri="{FF2B5EF4-FFF2-40B4-BE49-F238E27FC236}">
              <a16:creationId xmlns:a16="http://schemas.microsoft.com/office/drawing/2014/main" id="{3C2F6892-A424-47AC-96E9-C0C4602C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17" t="48524" r="37103" b="28885"/>
        <a:stretch>
          <a:fillRect/>
        </a:stretch>
      </xdr:blipFill>
      <xdr:spPr bwMode="auto">
        <a:xfrm>
          <a:off x="4648201" y="11868150"/>
          <a:ext cx="1219200" cy="68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542925</xdr:colOff>
      <xdr:row>16</xdr:row>
      <xdr:rowOff>66675</xdr:rowOff>
    </xdr:from>
    <xdr:to>
      <xdr:col>11</xdr:col>
      <xdr:colOff>585731</xdr:colOff>
      <xdr:row>16</xdr:row>
      <xdr:rowOff>742950</xdr:rowOff>
    </xdr:to>
    <xdr:pic>
      <xdr:nvPicPr>
        <xdr:cNvPr id="25" name="Picture 529">
          <a:extLst>
            <a:ext uri="{FF2B5EF4-FFF2-40B4-BE49-F238E27FC236}">
              <a16:creationId xmlns:a16="http://schemas.microsoft.com/office/drawing/2014/main" id="{DB89050B-DE9F-4C8D-A959-59D09AA8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17" t="48524" r="46542" b="28885"/>
        <a:stretch>
          <a:fillRect/>
        </a:stretch>
      </xdr:blipFill>
      <xdr:spPr bwMode="auto">
        <a:xfrm>
          <a:off x="6753225" y="11877675"/>
          <a:ext cx="65240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44237</xdr:colOff>
      <xdr:row>16</xdr:row>
      <xdr:rowOff>35167</xdr:rowOff>
    </xdr:from>
    <xdr:to>
      <xdr:col>13</xdr:col>
      <xdr:colOff>580293</xdr:colOff>
      <xdr:row>16</xdr:row>
      <xdr:rowOff>767860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EE8C11F-5A2B-82E9-529E-E7192D72EF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4" t="13974" r="7972" b="13276"/>
        <a:stretch>
          <a:fillRect/>
        </a:stretch>
      </xdr:blipFill>
      <xdr:spPr>
        <a:xfrm>
          <a:off x="8127299" y="11723075"/>
          <a:ext cx="536056" cy="732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51</xdr:row>
      <xdr:rowOff>19050</xdr:rowOff>
    </xdr:from>
    <xdr:to>
      <xdr:col>6</xdr:col>
      <xdr:colOff>28575</xdr:colOff>
      <xdr:row>55</xdr:row>
      <xdr:rowOff>0</xdr:rowOff>
    </xdr:to>
    <xdr:pic>
      <xdr:nvPicPr>
        <xdr:cNvPr id="6" name="Picture 530">
          <a:extLst>
            <a:ext uri="{FF2B5EF4-FFF2-40B4-BE49-F238E27FC236}">
              <a16:creationId xmlns:a16="http://schemas.microsoft.com/office/drawing/2014/main" id="{D6DC6D41-BF7D-4573-B212-DC766B17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67" t="48120" r="39452" b="28770"/>
        <a:stretch>
          <a:fillRect/>
        </a:stretch>
      </xdr:blipFill>
      <xdr:spPr bwMode="auto">
        <a:xfrm>
          <a:off x="7867650" y="9458325"/>
          <a:ext cx="9620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59</xdr:row>
      <xdr:rowOff>19050</xdr:rowOff>
    </xdr:from>
    <xdr:to>
      <xdr:col>6</xdr:col>
      <xdr:colOff>257175</xdr:colOff>
      <xdr:row>62</xdr:row>
      <xdr:rowOff>190500</xdr:rowOff>
    </xdr:to>
    <xdr:pic>
      <xdr:nvPicPr>
        <xdr:cNvPr id="7" name="Picture 531">
          <a:extLst>
            <a:ext uri="{FF2B5EF4-FFF2-40B4-BE49-F238E27FC236}">
              <a16:creationId xmlns:a16="http://schemas.microsoft.com/office/drawing/2014/main" id="{36B1D023-21D7-48B7-B969-A8B27F42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01" t="39989" r="43202" b="48560"/>
        <a:stretch>
          <a:fillRect/>
        </a:stretch>
      </xdr:blipFill>
      <xdr:spPr bwMode="auto">
        <a:xfrm>
          <a:off x="7639050" y="10458450"/>
          <a:ext cx="1419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447675</xdr:colOff>
      <xdr:row>64</xdr:row>
      <xdr:rowOff>161925</xdr:rowOff>
    </xdr:from>
    <xdr:to>
      <xdr:col>6</xdr:col>
      <xdr:colOff>219075</xdr:colOff>
      <xdr:row>67</xdr:row>
      <xdr:rowOff>76200</xdr:rowOff>
    </xdr:to>
    <xdr:pic>
      <xdr:nvPicPr>
        <xdr:cNvPr id="8" name="Picture 539">
          <a:extLst>
            <a:ext uri="{FF2B5EF4-FFF2-40B4-BE49-F238E27FC236}">
              <a16:creationId xmlns:a16="http://schemas.microsoft.com/office/drawing/2014/main" id="{2042138C-8FC7-4299-B5E3-89032105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65" t="44167" r="43385" b="48241"/>
        <a:stretch>
          <a:fillRect/>
        </a:stretch>
      </xdr:blipFill>
      <xdr:spPr bwMode="auto">
        <a:xfrm>
          <a:off x="7458075" y="15059025"/>
          <a:ext cx="990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447675</xdr:colOff>
      <xdr:row>69</xdr:row>
      <xdr:rowOff>66675</xdr:rowOff>
    </xdr:from>
    <xdr:to>
      <xdr:col>6</xdr:col>
      <xdr:colOff>238125</xdr:colOff>
      <xdr:row>71</xdr:row>
      <xdr:rowOff>152400</xdr:rowOff>
    </xdr:to>
    <xdr:pic>
      <xdr:nvPicPr>
        <xdr:cNvPr id="9" name="Picture 540">
          <a:extLst>
            <a:ext uri="{FF2B5EF4-FFF2-40B4-BE49-F238E27FC236}">
              <a16:creationId xmlns:a16="http://schemas.microsoft.com/office/drawing/2014/main" id="{CB4A6C77-BB4F-491E-8407-94F72D4C8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2" t="52779" r="43439" b="40092"/>
        <a:stretch>
          <a:fillRect/>
        </a:stretch>
      </xdr:blipFill>
      <xdr:spPr bwMode="auto">
        <a:xfrm>
          <a:off x="7458075" y="15963900"/>
          <a:ext cx="1009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66675</xdr:colOff>
          <xdr:row>16</xdr:row>
          <xdr:rowOff>114300</xdr:rowOff>
        </xdr:from>
        <xdr:ext cx="6019800" cy="1399726"/>
        <xdr:pic>
          <xdr:nvPicPr>
            <xdr:cNvPr id="14" name="Immagine 44">
              <a:extLst>
                <a:ext uri="{FF2B5EF4-FFF2-40B4-BE49-F238E27FC236}">
                  <a16:creationId xmlns:a16="http://schemas.microsoft.com/office/drawing/2014/main" id="{1CDD1330-4F31-4DF3-B42D-04084E855BC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VISTAINPIANTA" spid="_x0000_s1495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248275" y="3152775"/>
              <a:ext cx="6019800" cy="13997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85</xdr:row>
          <xdr:rowOff>76200</xdr:rowOff>
        </xdr:from>
        <xdr:to>
          <xdr:col>5</xdr:col>
          <xdr:colOff>0</xdr:colOff>
          <xdr:row>91</xdr:row>
          <xdr:rowOff>161925</xdr:rowOff>
        </xdr:to>
        <xdr:pic>
          <xdr:nvPicPr>
            <xdr:cNvPr id="15" name="Immagine 37">
              <a:extLst>
                <a:ext uri="{FF2B5EF4-FFF2-40B4-BE49-F238E27FC236}">
                  <a16:creationId xmlns:a16="http://schemas.microsoft.com/office/drawing/2014/main" id="{7A4C8BEB-96C5-4733-8D2B-EF8F7272F0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TRASCINAPORTAsx" spid="_x0000_s1495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19700" y="16916400"/>
              <a:ext cx="2828925" cy="1285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85</xdr:row>
          <xdr:rowOff>66675</xdr:rowOff>
        </xdr:from>
        <xdr:to>
          <xdr:col>9</xdr:col>
          <xdr:colOff>742950</xdr:colOff>
          <xdr:row>91</xdr:row>
          <xdr:rowOff>152400</xdr:rowOff>
        </xdr:to>
        <xdr:pic>
          <xdr:nvPicPr>
            <xdr:cNvPr id="16" name="Immagine 37">
              <a:extLst>
                <a:ext uri="{FF2B5EF4-FFF2-40B4-BE49-F238E27FC236}">
                  <a16:creationId xmlns:a16="http://schemas.microsoft.com/office/drawing/2014/main" id="{3E861726-ACE6-45B6-ADD2-E520B5EDD7B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TRASCINAPORTAdx" spid="_x0000_s149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8524875" y="16906875"/>
              <a:ext cx="2781300" cy="1285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54683</xdr:colOff>
          <xdr:row>43</xdr:row>
          <xdr:rowOff>197688</xdr:rowOff>
        </xdr:from>
        <xdr:to>
          <xdr:col>6</xdr:col>
          <xdr:colOff>321383</xdr:colOff>
          <xdr:row>48</xdr:row>
          <xdr:rowOff>7188</xdr:rowOff>
        </xdr:to>
        <xdr:pic>
          <xdr:nvPicPr>
            <xdr:cNvPr id="21" name="Picture 529">
              <a:extLst>
                <a:ext uri="{FF2B5EF4-FFF2-40B4-BE49-F238E27FC236}">
                  <a16:creationId xmlns:a16="http://schemas.microsoft.com/office/drawing/2014/main" id="{CA5DC03F-F875-4F16-8EEA-D91DBD716D8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BINARIOcodice" spid="_x0000_s14961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 bwMode="auto">
            <a:xfrm>
              <a:off x="7274633" y="8636838"/>
              <a:ext cx="1847850" cy="8096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44</xdr:row>
          <xdr:rowOff>22860</xdr:rowOff>
        </xdr:from>
        <xdr:to>
          <xdr:col>9</xdr:col>
          <xdr:colOff>739140</xdr:colOff>
          <xdr:row>48</xdr:row>
          <xdr:rowOff>15826</xdr:rowOff>
        </xdr:to>
        <xdr:pic>
          <xdr:nvPicPr>
            <xdr:cNvPr id="4" name="Picture 529">
              <a:extLst>
                <a:ext uri="{FF2B5EF4-FFF2-40B4-BE49-F238E27FC236}">
                  <a16:creationId xmlns:a16="http://schemas.microsoft.com/office/drawing/2014/main" id="{4EB34050-258E-4B4F-95A9-EA8803D6BB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_REGOLATORI" spid="_x0000_s14962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 bwMode="auto">
            <a:xfrm>
              <a:off x="10972800" y="8572500"/>
              <a:ext cx="609600" cy="78544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B0E6-7FF9-4EF4-AF10-538FACCD0900}">
  <sheetPr codeName="Foglio1"/>
  <dimension ref="A1:CP109"/>
  <sheetViews>
    <sheetView showGridLines="0" showRowColHeaders="0" tabSelected="1" zoomScale="115" zoomScaleNormal="115" zoomScaleSheetLayoutView="100" workbookViewId="0">
      <selection activeCell="O5" sqref="O5:AJ5"/>
    </sheetView>
  </sheetViews>
  <sheetFormatPr defaultRowHeight="14.4" x14ac:dyDescent="0.3"/>
  <cols>
    <col min="1" max="1" width="31.77734375" customWidth="1"/>
    <col min="2" max="2" width="3.77734375" customWidth="1"/>
    <col min="3" max="33" width="1.6640625" customWidth="1"/>
    <col min="34" max="36" width="0.88671875" customWidth="1"/>
    <col min="37" max="39" width="2.33203125" customWidth="1"/>
    <col min="40" max="57" width="1.6640625" customWidth="1"/>
    <col min="58" max="76" width="2.33203125" customWidth="1"/>
    <col min="257" max="257" width="54.44140625" customWidth="1"/>
    <col min="258" max="326" width="1.6640625" customWidth="1"/>
    <col min="513" max="513" width="54.44140625" customWidth="1"/>
    <col min="514" max="582" width="1.6640625" customWidth="1"/>
    <col min="769" max="769" width="54.44140625" customWidth="1"/>
    <col min="770" max="838" width="1.6640625" customWidth="1"/>
    <col min="1025" max="1025" width="54.44140625" customWidth="1"/>
    <col min="1026" max="1094" width="1.6640625" customWidth="1"/>
    <col min="1281" max="1281" width="54.44140625" customWidth="1"/>
    <col min="1282" max="1350" width="1.6640625" customWidth="1"/>
    <col min="1537" max="1537" width="54.44140625" customWidth="1"/>
    <col min="1538" max="1606" width="1.6640625" customWidth="1"/>
    <col min="1793" max="1793" width="54.44140625" customWidth="1"/>
    <col min="1794" max="1862" width="1.6640625" customWidth="1"/>
    <col min="2049" max="2049" width="54.44140625" customWidth="1"/>
    <col min="2050" max="2118" width="1.6640625" customWidth="1"/>
    <col min="2305" max="2305" width="54.44140625" customWidth="1"/>
    <col min="2306" max="2374" width="1.6640625" customWidth="1"/>
    <col min="2561" max="2561" width="54.44140625" customWidth="1"/>
    <col min="2562" max="2630" width="1.6640625" customWidth="1"/>
    <col min="2817" max="2817" width="54.44140625" customWidth="1"/>
    <col min="2818" max="2886" width="1.6640625" customWidth="1"/>
    <col min="3073" max="3073" width="54.44140625" customWidth="1"/>
    <col min="3074" max="3142" width="1.6640625" customWidth="1"/>
    <col min="3329" max="3329" width="54.44140625" customWidth="1"/>
    <col min="3330" max="3398" width="1.6640625" customWidth="1"/>
    <col min="3585" max="3585" width="54.44140625" customWidth="1"/>
    <col min="3586" max="3654" width="1.6640625" customWidth="1"/>
    <col min="3841" max="3841" width="54.44140625" customWidth="1"/>
    <col min="3842" max="3910" width="1.6640625" customWidth="1"/>
    <col min="4097" max="4097" width="54.44140625" customWidth="1"/>
    <col min="4098" max="4166" width="1.6640625" customWidth="1"/>
    <col min="4353" max="4353" width="54.44140625" customWidth="1"/>
    <col min="4354" max="4422" width="1.6640625" customWidth="1"/>
    <col min="4609" max="4609" width="54.44140625" customWidth="1"/>
    <col min="4610" max="4678" width="1.6640625" customWidth="1"/>
    <col min="4865" max="4865" width="54.44140625" customWidth="1"/>
    <col min="4866" max="4934" width="1.6640625" customWidth="1"/>
    <col min="5121" max="5121" width="54.44140625" customWidth="1"/>
    <col min="5122" max="5190" width="1.6640625" customWidth="1"/>
    <col min="5377" max="5377" width="54.44140625" customWidth="1"/>
    <col min="5378" max="5446" width="1.6640625" customWidth="1"/>
    <col min="5633" max="5633" width="54.44140625" customWidth="1"/>
    <col min="5634" max="5702" width="1.6640625" customWidth="1"/>
    <col min="5889" max="5889" width="54.44140625" customWidth="1"/>
    <col min="5890" max="5958" width="1.6640625" customWidth="1"/>
    <col min="6145" max="6145" width="54.44140625" customWidth="1"/>
    <col min="6146" max="6214" width="1.6640625" customWidth="1"/>
    <col min="6401" max="6401" width="54.44140625" customWidth="1"/>
    <col min="6402" max="6470" width="1.6640625" customWidth="1"/>
    <col min="6657" max="6657" width="54.44140625" customWidth="1"/>
    <col min="6658" max="6726" width="1.6640625" customWidth="1"/>
    <col min="6913" max="6913" width="54.44140625" customWidth="1"/>
    <col min="6914" max="6982" width="1.6640625" customWidth="1"/>
    <col min="7169" max="7169" width="54.44140625" customWidth="1"/>
    <col min="7170" max="7238" width="1.6640625" customWidth="1"/>
    <col min="7425" max="7425" width="54.44140625" customWidth="1"/>
    <col min="7426" max="7494" width="1.6640625" customWidth="1"/>
    <col min="7681" max="7681" width="54.44140625" customWidth="1"/>
    <col min="7682" max="7750" width="1.6640625" customWidth="1"/>
    <col min="7937" max="7937" width="54.44140625" customWidth="1"/>
    <col min="7938" max="8006" width="1.6640625" customWidth="1"/>
    <col min="8193" max="8193" width="54.44140625" customWidth="1"/>
    <col min="8194" max="8262" width="1.6640625" customWidth="1"/>
    <col min="8449" max="8449" width="54.44140625" customWidth="1"/>
    <col min="8450" max="8518" width="1.6640625" customWidth="1"/>
    <col min="8705" max="8705" width="54.44140625" customWidth="1"/>
    <col min="8706" max="8774" width="1.6640625" customWidth="1"/>
    <col min="8961" max="8961" width="54.44140625" customWidth="1"/>
    <col min="8962" max="9030" width="1.6640625" customWidth="1"/>
    <col min="9217" max="9217" width="54.44140625" customWidth="1"/>
    <col min="9218" max="9286" width="1.6640625" customWidth="1"/>
    <col min="9473" max="9473" width="54.44140625" customWidth="1"/>
    <col min="9474" max="9542" width="1.6640625" customWidth="1"/>
    <col min="9729" max="9729" width="54.44140625" customWidth="1"/>
    <col min="9730" max="9798" width="1.6640625" customWidth="1"/>
    <col min="9985" max="9985" width="54.44140625" customWidth="1"/>
    <col min="9986" max="10054" width="1.6640625" customWidth="1"/>
    <col min="10241" max="10241" width="54.44140625" customWidth="1"/>
    <col min="10242" max="10310" width="1.6640625" customWidth="1"/>
    <col min="10497" max="10497" width="54.44140625" customWidth="1"/>
    <col min="10498" max="10566" width="1.6640625" customWidth="1"/>
    <col min="10753" max="10753" width="54.44140625" customWidth="1"/>
    <col min="10754" max="10822" width="1.6640625" customWidth="1"/>
    <col min="11009" max="11009" width="54.44140625" customWidth="1"/>
    <col min="11010" max="11078" width="1.6640625" customWidth="1"/>
    <col min="11265" max="11265" width="54.44140625" customWidth="1"/>
    <col min="11266" max="11334" width="1.6640625" customWidth="1"/>
    <col min="11521" max="11521" width="54.44140625" customWidth="1"/>
    <col min="11522" max="11590" width="1.6640625" customWidth="1"/>
    <col min="11777" max="11777" width="54.44140625" customWidth="1"/>
    <col min="11778" max="11846" width="1.6640625" customWidth="1"/>
    <col min="12033" max="12033" width="54.44140625" customWidth="1"/>
    <col min="12034" max="12102" width="1.6640625" customWidth="1"/>
    <col min="12289" max="12289" width="54.44140625" customWidth="1"/>
    <col min="12290" max="12358" width="1.6640625" customWidth="1"/>
    <col min="12545" max="12545" width="54.44140625" customWidth="1"/>
    <col min="12546" max="12614" width="1.6640625" customWidth="1"/>
    <col min="12801" max="12801" width="54.44140625" customWidth="1"/>
    <col min="12802" max="12870" width="1.6640625" customWidth="1"/>
    <col min="13057" max="13057" width="54.44140625" customWidth="1"/>
    <col min="13058" max="13126" width="1.6640625" customWidth="1"/>
    <col min="13313" max="13313" width="54.44140625" customWidth="1"/>
    <col min="13314" max="13382" width="1.6640625" customWidth="1"/>
    <col min="13569" max="13569" width="54.44140625" customWidth="1"/>
    <col min="13570" max="13638" width="1.6640625" customWidth="1"/>
    <col min="13825" max="13825" width="54.44140625" customWidth="1"/>
    <col min="13826" max="13894" width="1.6640625" customWidth="1"/>
    <col min="14081" max="14081" width="54.44140625" customWidth="1"/>
    <col min="14082" max="14150" width="1.6640625" customWidth="1"/>
    <col min="14337" max="14337" width="54.44140625" customWidth="1"/>
    <col min="14338" max="14406" width="1.6640625" customWidth="1"/>
    <col min="14593" max="14593" width="54.44140625" customWidth="1"/>
    <col min="14594" max="14662" width="1.6640625" customWidth="1"/>
    <col min="14849" max="14849" width="54.44140625" customWidth="1"/>
    <col min="14850" max="14918" width="1.6640625" customWidth="1"/>
    <col min="15105" max="15105" width="54.44140625" customWidth="1"/>
    <col min="15106" max="15174" width="1.6640625" customWidth="1"/>
    <col min="15361" max="15361" width="54.44140625" customWidth="1"/>
    <col min="15362" max="15430" width="1.6640625" customWidth="1"/>
    <col min="15617" max="15617" width="54.44140625" customWidth="1"/>
    <col min="15618" max="15686" width="1.6640625" customWidth="1"/>
    <col min="15873" max="15873" width="54.44140625" customWidth="1"/>
    <col min="15874" max="15942" width="1.6640625" customWidth="1"/>
    <col min="16129" max="16129" width="54.44140625" customWidth="1"/>
    <col min="16130" max="16198" width="1.6640625" customWidth="1"/>
  </cols>
  <sheetData>
    <row r="1" spans="1:94" ht="6.9" customHeight="1" x14ac:dyDescent="0.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265" t="s">
        <v>134</v>
      </c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</row>
    <row r="2" spans="1:94" ht="6.9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</row>
    <row r="3" spans="1:94" ht="20.100000000000001" customHeight="1" x14ac:dyDescent="0.3">
      <c r="A3" s="96"/>
      <c r="N3" s="94"/>
      <c r="O3" s="336" t="str">
        <f>IF($O$5="","CLICCA E SELEZIONA SE RITIRARE MERCE IN VPA O SE VOLETE LA CONSEGNA",IF($O$6="","COMPILARE I RIQUADRI VERDI : SCRIVERE LA RAGIONE SOCIALE",IF($O$8=""," SCRIVERE LA CITTA'",IF($O$10="","CLICCA E SCEGLI LA FINITURA",IF($O$12="","CLICCA E SCEGLI SE E' a 1 VIA oppure a 2 VIE",IF($R$12="","CLICCA E SCEGLI LA MODALITA' DI FISSAGGIO",IF(AND($R$14&lt;&gt;"",$Z$14=""),"CLICCA E SCEGLI SE NECESSITI DELLA VELETTA DI FISSAGGIO A PARETE",IF($O$14="","CLICCA E SCEGLI IL N° DI BINARI NECESSARI ",IF($O$16="","SCRIVI IL N° DI TAPPI NECESSARI (scrivi 0 se non servono)",IF($O$18="","SCRIVI IL N° VELETTE DI COPERTURA BINARIO (solo COLOR ALLUMINIO o BIANCO, scrivi 0 se non servono)",IF($O$20="","SCRIVI IL N° DI TAMPONAMENTI NECESSARI (scrivi 0 se non servono)",IF($O$22="","SCRIVI IL N° DI PORTE DESIDERATE",IF($O$24="","SCRIVI IL N° DI PORTE FISSE (scrivi 0 se non ce ne sono)",IF($O$26="","SCRIVI IL N° DI TRAVERSI  DESIDERATI (scrivi 0 se non ce ne sono)",IF($O$28="","CLICCA E SCEGLI SE SONO AMMORTIZZATE oppure NO",IF($O$30="","SCRIVI IL N° DI MANIGLIE DESIDERATE (scrivi 0 se non ce ne sono)",IF(OR($O$32="",$O$34=""),"SCRIVI IL N° DI TRASCINAPORTA SX e DX NECESSARI (scrivi 0 se NON servono)",IF($O$36="","CLICCA E SCEGLI SE SERVONO MONTATE O SMONTATE",IF($F$38="","CLICCA E SELEZIONA IL VETRO oppure NO VETRO",IF($AF$26="","SCRIVI L'ALTEZZA nel RIQUADRO (inerente alla QUOTA INDICATA nel DISEGNO)",IF(AND($Y$38="",DATI!$B$26&lt;&gt;0),"SCRIVI LA LARGHEZZA nel RIQUADRO   (inerente alla QUOTA INDICATA nel DISEGNO)",IF(AND($BO$19="",$BO$10="SCRIVI la misura"),"SCRIVI nel riquadro VERDE la misura BINARIO",IF($Y$38&lt;&gt;"","OK        (NON FORNIAMO SPESSORI A COMPENSAZIONE DELLO ZOCCOLINO)",IF(AND($Y$38="",$BO$19&lt;&gt;"",BT21=""),"SCRIVI LA LARGHEZZA DELL'ANTA NEL RIQUADRO VERDE",IF($BT$21&lt;&gt;"","OK        (NON FORNIAMO SPESSORI A COMPENSAZIONE DELLO ZOCCOLINO)","")))))))))))))))))))))))))</f>
        <v>CLICCA E SELEZIONA SE RITIRARE MERCE IN VPA O SE VOLETE LA CONSEGNA</v>
      </c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6"/>
      <c r="BA3" s="336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36"/>
      <c r="BM3" s="336"/>
      <c r="BN3" s="336"/>
      <c r="BO3" s="336"/>
      <c r="BP3" s="336"/>
      <c r="BQ3" s="336"/>
      <c r="BR3" s="336"/>
      <c r="BS3" s="336"/>
      <c r="BT3" s="336"/>
      <c r="BU3" s="336"/>
      <c r="BV3" s="336"/>
      <c r="BW3" s="336"/>
      <c r="BX3" s="336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23"/>
      <c r="CM3" s="23"/>
      <c r="CN3" s="23"/>
      <c r="CO3" s="23"/>
      <c r="CP3" s="23"/>
    </row>
    <row r="4" spans="1:94" ht="20.100000000000001" customHeight="1" x14ac:dyDescent="0.3">
      <c r="A4" s="96"/>
      <c r="N4" s="94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  <c r="AT4" s="336"/>
      <c r="AU4" s="336"/>
      <c r="AV4" s="336"/>
      <c r="AW4" s="336"/>
      <c r="AX4" s="336"/>
      <c r="AY4" s="336"/>
      <c r="AZ4" s="336"/>
      <c r="BA4" s="336"/>
      <c r="BB4" s="336"/>
      <c r="BC4" s="336"/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23"/>
      <c r="CM4" s="23"/>
      <c r="CN4" s="23"/>
      <c r="CO4" s="23"/>
      <c r="CP4" s="23"/>
    </row>
    <row r="5" spans="1:94" ht="15.9" customHeight="1" x14ac:dyDescent="0.3">
      <c r="A5" s="96"/>
      <c r="B5" s="235" t="s">
        <v>239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320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322"/>
      <c r="AK5" s="323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236" t="s">
        <v>250</v>
      </c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7"/>
      <c r="BS5" s="238"/>
      <c r="BT5" s="238"/>
      <c r="BU5" s="238"/>
      <c r="BV5" s="238"/>
      <c r="BW5" s="238"/>
      <c r="BX5" s="238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23"/>
      <c r="CM5" s="23"/>
      <c r="CN5" s="23"/>
      <c r="CO5" s="23"/>
      <c r="CP5" s="23"/>
    </row>
    <row r="6" spans="1:94" ht="8.1" customHeight="1" x14ac:dyDescent="0.3">
      <c r="A6" s="96"/>
      <c r="B6" s="235" t="s">
        <v>40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74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6"/>
      <c r="AK6" s="280"/>
      <c r="AL6" s="280"/>
      <c r="AM6" s="280"/>
      <c r="AN6" s="280"/>
      <c r="AO6" s="280"/>
      <c r="AP6" s="280"/>
      <c r="AQ6" s="280"/>
      <c r="AR6" s="280"/>
      <c r="AS6" s="281" t="str">
        <f>IF(CARTELLINO!J7&lt;&gt;"",CARTELLINO!J7,"")</f>
        <v/>
      </c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2"/>
      <c r="BF6" s="249" t="s">
        <v>240</v>
      </c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1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</row>
    <row r="7" spans="1:94" ht="8.1" customHeight="1" x14ac:dyDescent="0.3">
      <c r="A7" s="96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77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9"/>
      <c r="AK7" s="280"/>
      <c r="AL7" s="280"/>
      <c r="AM7" s="280"/>
      <c r="AN7" s="280"/>
      <c r="AO7" s="280"/>
      <c r="AP7" s="280"/>
      <c r="AQ7" s="280"/>
      <c r="AR7" s="280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4"/>
      <c r="BF7" s="252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4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</row>
    <row r="8" spans="1:94" ht="8.1" customHeight="1" x14ac:dyDescent="0.3">
      <c r="A8" s="96"/>
      <c r="B8" s="235" t="s">
        <v>41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280" t="s">
        <v>39</v>
      </c>
      <c r="AL8" s="280"/>
      <c r="AM8" s="280"/>
      <c r="AN8" s="280"/>
      <c r="AO8" s="280"/>
      <c r="AP8" s="280"/>
      <c r="AQ8" s="280"/>
      <c r="AR8" s="280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308"/>
      <c r="BF8" s="252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3"/>
      <c r="BU8" s="253"/>
      <c r="BV8" s="253"/>
      <c r="BW8" s="253"/>
      <c r="BX8" s="254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</row>
    <row r="9" spans="1:94" ht="8.1" customHeight="1" x14ac:dyDescent="0.3">
      <c r="A9" s="96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280"/>
      <c r="AL9" s="280"/>
      <c r="AM9" s="280"/>
      <c r="AN9" s="280"/>
      <c r="AO9" s="280"/>
      <c r="AP9" s="280"/>
      <c r="AQ9" s="280"/>
      <c r="AR9" s="280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308"/>
      <c r="BF9" s="252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4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</row>
    <row r="10" spans="1:94" ht="8.1" customHeight="1" x14ac:dyDescent="0.3">
      <c r="A10" s="96"/>
      <c r="B10" s="235" t="s">
        <v>42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289" t="str">
        <f>IF(AND($O$10="ALLUMINIO ANODIZZATO"),"BINARIO ALLUMINIO ANODIZZATO",IF(AND($O$10="METAL GREY"),"BINARIO METAL GREY",IF(AND($O$10="RAL 9016 BIANCO OPACO"),"BINARIO ALLUMINIO ANODIZZATO","")))</f>
        <v/>
      </c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90"/>
      <c r="BF10" s="309" t="str">
        <f>IF(BO19&lt;&gt;"","","Lunghezza BINARI")</f>
        <v>Lunghezza BINARI</v>
      </c>
      <c r="BG10" s="310"/>
      <c r="BH10" s="310"/>
      <c r="BI10" s="310"/>
      <c r="BJ10" s="310"/>
      <c r="BK10" s="310"/>
      <c r="BL10" s="310"/>
      <c r="BM10" s="310"/>
      <c r="BN10" s="310"/>
      <c r="BO10" s="298" t="str">
        <f>IF($BO$19&lt;&gt;"","",IF(AND($O$12=1,$F$38&lt;&gt;""),"SCRIVI la misura",IF(AND($O$22&gt;=5,$F$38&lt;&gt;""),"SCRIVI la misura",IF(AND($O$12=2),$Y$38-2&amp;" mm",""))))</f>
        <v/>
      </c>
      <c r="BP10" s="298"/>
      <c r="BQ10" s="298"/>
      <c r="BR10" s="298"/>
      <c r="BS10" s="298"/>
      <c r="BT10" s="298"/>
      <c r="BU10" s="298"/>
      <c r="BV10" s="298"/>
      <c r="BW10" s="298"/>
      <c r="BX10" s="299"/>
      <c r="BY10" s="102"/>
      <c r="BZ10" s="102"/>
      <c r="CA10" s="102"/>
      <c r="CB10" s="102"/>
      <c r="CC10" s="102"/>
      <c r="CD10" s="102"/>
      <c r="CE10" s="102"/>
      <c r="CF10" s="102"/>
      <c r="CG10" s="96"/>
      <c r="CH10" s="96"/>
      <c r="CI10" s="96"/>
      <c r="CJ10" s="96"/>
      <c r="CK10" s="96"/>
    </row>
    <row r="11" spans="1:94" ht="8.1" customHeight="1" x14ac:dyDescent="0.3">
      <c r="A11" s="9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90"/>
      <c r="BF11" s="309"/>
      <c r="BG11" s="310"/>
      <c r="BH11" s="310"/>
      <c r="BI11" s="310"/>
      <c r="BJ11" s="310"/>
      <c r="BK11" s="310"/>
      <c r="BL11" s="310"/>
      <c r="BM11" s="310"/>
      <c r="BN11" s="310"/>
      <c r="BO11" s="298"/>
      <c r="BP11" s="298"/>
      <c r="BQ11" s="298"/>
      <c r="BR11" s="298"/>
      <c r="BS11" s="298"/>
      <c r="BT11" s="298"/>
      <c r="BU11" s="298"/>
      <c r="BV11" s="298"/>
      <c r="BW11" s="298"/>
      <c r="BX11" s="299"/>
      <c r="BY11" s="102"/>
      <c r="BZ11" s="102"/>
      <c r="CA11" s="102"/>
      <c r="CB11" s="102"/>
      <c r="CC11" s="102"/>
      <c r="CD11" s="102"/>
      <c r="CE11" s="102"/>
      <c r="CF11" s="102"/>
      <c r="CG11" s="96"/>
      <c r="CH11" s="96"/>
      <c r="CI11" s="96"/>
      <c r="CJ11" s="96"/>
      <c r="CK11" s="96"/>
    </row>
    <row r="12" spans="1:94" ht="11.1" customHeight="1" x14ac:dyDescent="0.35">
      <c r="A12" s="96"/>
      <c r="B12" s="235" t="s">
        <v>43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88"/>
      <c r="P12" s="288"/>
      <c r="Q12" s="288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2"/>
      <c r="BF12" s="300" t="s">
        <v>5</v>
      </c>
      <c r="BG12" s="301"/>
      <c r="BH12" s="255" t="str">
        <f>IF(O22="","",(IF($BJ$21&gt;0,"",$O$22)))</f>
        <v/>
      </c>
      <c r="BI12" s="255"/>
      <c r="BJ12" s="301" t="s">
        <v>6</v>
      </c>
      <c r="BK12" s="301"/>
      <c r="BL12" s="255" t="str">
        <f>IF($BN$21&gt;0,"",IF($AF$26="","",IF(OR(DATI!$AC$9="A",DATI!$AC$9="C",DATI!$AC$9="E"),$AF$26-10,IF(OR(DATI!$AC$9="B",DATI!$AC$9="D"),$AF$26-80))))</f>
        <v/>
      </c>
      <c r="BM12" s="255"/>
      <c r="BN12" s="255"/>
      <c r="BO12" s="255"/>
      <c r="BP12" s="255"/>
      <c r="BQ12" s="255" t="s">
        <v>7</v>
      </c>
      <c r="BR12" s="255"/>
      <c r="BS12" s="337" t="str">
        <f>IF($BT$21&gt;0,"",DATI!$E$18)</f>
        <v/>
      </c>
      <c r="BT12" s="337"/>
      <c r="BU12" s="337"/>
      <c r="BV12" s="337"/>
      <c r="BW12" s="337"/>
      <c r="BX12" s="338"/>
      <c r="BY12" s="95"/>
      <c r="BZ12" s="95"/>
      <c r="CA12" s="95"/>
      <c r="CB12" s="95"/>
      <c r="CC12" s="95"/>
      <c r="CD12" s="95"/>
      <c r="CE12" s="95"/>
      <c r="CF12" s="95"/>
      <c r="CG12" s="96"/>
      <c r="CH12" s="96"/>
      <c r="CI12" s="96"/>
      <c r="CJ12" s="96"/>
      <c r="CK12" s="96"/>
    </row>
    <row r="13" spans="1:94" ht="11.1" customHeight="1" x14ac:dyDescent="0.35">
      <c r="A13" s="96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88"/>
      <c r="P13" s="288"/>
      <c r="Q13" s="288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343"/>
      <c r="AD13" s="343"/>
      <c r="AE13" s="343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4"/>
      <c r="BF13" s="302"/>
      <c r="BG13" s="303"/>
      <c r="BH13" s="256"/>
      <c r="BI13" s="256"/>
      <c r="BJ13" s="303"/>
      <c r="BK13" s="303"/>
      <c r="BL13" s="256"/>
      <c r="BM13" s="256"/>
      <c r="BN13" s="256"/>
      <c r="BO13" s="256"/>
      <c r="BP13" s="256"/>
      <c r="BQ13" s="256"/>
      <c r="BR13" s="256"/>
      <c r="BS13" s="339"/>
      <c r="BT13" s="339"/>
      <c r="BU13" s="339"/>
      <c r="BV13" s="339"/>
      <c r="BW13" s="339"/>
      <c r="BX13" s="340"/>
      <c r="BY13" s="95"/>
      <c r="BZ13" s="95"/>
      <c r="CA13" s="95"/>
      <c r="CB13" s="95"/>
      <c r="CC13" s="95"/>
      <c r="CD13" s="95"/>
      <c r="CE13" s="95"/>
      <c r="CF13" s="95"/>
      <c r="CG13" s="96"/>
      <c r="CH13" s="96"/>
      <c r="CI13" s="96"/>
      <c r="CJ13" s="96"/>
      <c r="CK13" s="96"/>
    </row>
    <row r="14" spans="1:94" ht="11.1" customHeight="1" x14ac:dyDescent="0.3">
      <c r="A14" s="96"/>
      <c r="B14" s="235" t="s">
        <v>44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88"/>
      <c r="P14" s="288"/>
      <c r="Q14" s="288"/>
      <c r="R14" s="335" t="str">
        <f>IF(AND(O12=1,R12="FISSAGGIO A PARETE"),"CON VELETTA DI FISSAGGIO","")</f>
        <v/>
      </c>
      <c r="S14" s="335"/>
      <c r="T14" s="335"/>
      <c r="U14" s="335"/>
      <c r="V14" s="335"/>
      <c r="W14" s="335"/>
      <c r="X14" s="335"/>
      <c r="Y14" s="335"/>
      <c r="Z14" s="287"/>
      <c r="AA14" s="287"/>
      <c r="AB14" s="287"/>
      <c r="AC14" s="343"/>
      <c r="AD14" s="343"/>
      <c r="AE14" s="343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4"/>
      <c r="BF14" s="93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</row>
    <row r="15" spans="1:94" ht="11.1" customHeight="1" x14ac:dyDescent="0.3">
      <c r="A15" s="96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88"/>
      <c r="P15" s="288"/>
      <c r="Q15" s="288"/>
      <c r="R15" s="335"/>
      <c r="S15" s="335"/>
      <c r="T15" s="335"/>
      <c r="U15" s="335"/>
      <c r="V15" s="335"/>
      <c r="W15" s="335"/>
      <c r="X15" s="335"/>
      <c r="Y15" s="335"/>
      <c r="Z15" s="287"/>
      <c r="AA15" s="287"/>
      <c r="AB15" s="287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4"/>
      <c r="BF15" s="327" t="s">
        <v>64</v>
      </c>
      <c r="BG15" s="328"/>
      <c r="BH15" s="328"/>
      <c r="BI15" s="328"/>
      <c r="BJ15" s="328"/>
      <c r="BK15" s="328"/>
      <c r="BL15" s="328"/>
      <c r="BM15" s="328"/>
      <c r="BN15" s="328"/>
      <c r="BO15" s="328"/>
      <c r="BP15" s="328"/>
      <c r="BQ15" s="328"/>
      <c r="BR15" s="328"/>
      <c r="BS15" s="328"/>
      <c r="BT15" s="328"/>
      <c r="BU15" s="328"/>
      <c r="BV15" s="328"/>
      <c r="BW15" s="328"/>
      <c r="BX15" s="329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</row>
    <row r="16" spans="1:94" ht="11.1" customHeight="1" x14ac:dyDescent="0.3">
      <c r="A16" s="96"/>
      <c r="B16" s="235" t="s">
        <v>45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86"/>
      <c r="P16" s="286"/>
      <c r="Q16" s="286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4"/>
      <c r="BF16" s="330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2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</row>
    <row r="17" spans="1:89" ht="11.1" customHeight="1" x14ac:dyDescent="0.3">
      <c r="A17" s="96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86"/>
      <c r="P17" s="286"/>
      <c r="Q17" s="286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  <c r="BA17" s="343"/>
      <c r="BB17" s="343"/>
      <c r="BC17" s="343"/>
      <c r="BD17" s="343"/>
      <c r="BE17" s="344"/>
      <c r="BF17" s="330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2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</row>
    <row r="18" spans="1:89" ht="11.1" customHeight="1" x14ac:dyDescent="0.3">
      <c r="A18" s="96"/>
      <c r="B18" s="318" t="s">
        <v>121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286"/>
      <c r="P18" s="286"/>
      <c r="Q18" s="286"/>
      <c r="R18" s="347"/>
      <c r="S18" s="343"/>
      <c r="T18" s="343"/>
      <c r="U18" s="343"/>
      <c r="V18" s="343"/>
      <c r="W18" s="343"/>
      <c r="X18" s="343"/>
      <c r="Y18" s="343"/>
      <c r="Z18" s="343"/>
      <c r="AA18" s="343"/>
      <c r="AB18" s="19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4"/>
      <c r="BF18" s="330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2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</row>
    <row r="19" spans="1:89" ht="11.1" customHeight="1" x14ac:dyDescent="0.3">
      <c r="A19" s="96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286"/>
      <c r="P19" s="286"/>
      <c r="Q19" s="286"/>
      <c r="R19" s="347"/>
      <c r="S19" s="343"/>
      <c r="T19" s="343"/>
      <c r="U19" s="343"/>
      <c r="V19" s="343"/>
      <c r="W19" s="343"/>
      <c r="X19" s="343"/>
      <c r="Y19" s="343"/>
      <c r="Z19" s="343"/>
      <c r="AA19" s="343"/>
      <c r="AB19" s="19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343"/>
      <c r="BE19" s="344"/>
      <c r="BF19" s="333" t="s">
        <v>114</v>
      </c>
      <c r="BG19" s="334"/>
      <c r="BH19" s="334"/>
      <c r="BI19" s="334"/>
      <c r="BJ19" s="334"/>
      <c r="BK19" s="334"/>
      <c r="BL19" s="334"/>
      <c r="BM19" s="334"/>
      <c r="BN19" s="334"/>
      <c r="BO19" s="258"/>
      <c r="BP19" s="258"/>
      <c r="BQ19" s="258"/>
      <c r="BR19" s="258"/>
      <c r="BS19" s="258"/>
      <c r="BT19" s="258"/>
      <c r="BU19" s="258"/>
      <c r="BV19" s="258"/>
      <c r="BW19" s="258"/>
      <c r="BX19" s="259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</row>
    <row r="20" spans="1:89" ht="11.1" customHeight="1" x14ac:dyDescent="0.3">
      <c r="A20" s="96"/>
      <c r="B20" s="235" t="s">
        <v>46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86"/>
      <c r="P20" s="286"/>
      <c r="Q20" s="286"/>
      <c r="R20" s="347"/>
      <c r="S20" s="343"/>
      <c r="T20" s="343"/>
      <c r="U20" s="343"/>
      <c r="V20" s="343"/>
      <c r="W20" s="343"/>
      <c r="X20" s="343"/>
      <c r="Y20" s="343"/>
      <c r="Z20" s="343"/>
      <c r="AA20" s="343"/>
      <c r="AB20" s="19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343"/>
      <c r="AV20" s="343"/>
      <c r="AW20" s="343"/>
      <c r="AX20" s="343"/>
      <c r="AY20" s="343"/>
      <c r="AZ20" s="343"/>
      <c r="BA20" s="343"/>
      <c r="BB20" s="343"/>
      <c r="BC20" s="343"/>
      <c r="BD20" s="343"/>
      <c r="BE20" s="344"/>
      <c r="BF20" s="333"/>
      <c r="BG20" s="334"/>
      <c r="BH20" s="334"/>
      <c r="BI20" s="334"/>
      <c r="BJ20" s="334"/>
      <c r="BK20" s="334"/>
      <c r="BL20" s="334"/>
      <c r="BM20" s="334"/>
      <c r="BN20" s="334"/>
      <c r="BO20" s="258"/>
      <c r="BP20" s="258"/>
      <c r="BQ20" s="258"/>
      <c r="BR20" s="258"/>
      <c r="BS20" s="258"/>
      <c r="BT20" s="258"/>
      <c r="BU20" s="258"/>
      <c r="BV20" s="258"/>
      <c r="BW20" s="258"/>
      <c r="BX20" s="259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</row>
    <row r="21" spans="1:89" ht="11.1" customHeight="1" x14ac:dyDescent="0.35">
      <c r="A21" s="96"/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86"/>
      <c r="P21" s="286"/>
      <c r="Q21" s="286"/>
      <c r="R21" s="347"/>
      <c r="S21" s="343"/>
      <c r="T21" s="343"/>
      <c r="U21" s="343"/>
      <c r="V21" s="343"/>
      <c r="W21" s="343"/>
      <c r="X21" s="343"/>
      <c r="Y21" s="343"/>
      <c r="Z21" s="343"/>
      <c r="AA21" s="343"/>
      <c r="AB21" s="19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  <c r="AO21" s="343"/>
      <c r="AP21" s="343"/>
      <c r="AQ21" s="343"/>
      <c r="AR21" s="343"/>
      <c r="AS21" s="343"/>
      <c r="AT21" s="343"/>
      <c r="AU21" s="343"/>
      <c r="AV21" s="343"/>
      <c r="AW21" s="343"/>
      <c r="AX21" s="343"/>
      <c r="AY21" s="343"/>
      <c r="AZ21" s="343"/>
      <c r="BA21" s="343"/>
      <c r="BB21" s="343"/>
      <c r="BC21" s="343"/>
      <c r="BD21" s="343"/>
      <c r="BE21" s="344"/>
      <c r="BF21" s="260" t="s">
        <v>137</v>
      </c>
      <c r="BG21" s="261"/>
      <c r="BH21" s="257" t="s">
        <v>5</v>
      </c>
      <c r="BI21" s="257"/>
      <c r="BJ21" s="306"/>
      <c r="BK21" s="306"/>
      <c r="BL21" s="257" t="s">
        <v>6</v>
      </c>
      <c r="BM21" s="257"/>
      <c r="BN21" s="258"/>
      <c r="BO21" s="258"/>
      <c r="BP21" s="258"/>
      <c r="BQ21" s="258"/>
      <c r="BR21" s="257" t="s">
        <v>7</v>
      </c>
      <c r="BS21" s="257"/>
      <c r="BT21" s="258"/>
      <c r="BU21" s="258"/>
      <c r="BV21" s="258"/>
      <c r="BW21" s="258"/>
      <c r="BX21" s="259"/>
      <c r="BY21" s="97"/>
      <c r="BZ21" s="97"/>
      <c r="CA21" s="95"/>
      <c r="CB21" s="95"/>
      <c r="CC21" s="95"/>
      <c r="CD21" s="95"/>
      <c r="CE21" s="95"/>
      <c r="CF21" s="95"/>
      <c r="CG21" s="95"/>
      <c r="CH21" s="95"/>
      <c r="CI21" s="96"/>
      <c r="CJ21" s="96"/>
      <c r="CK21" s="96"/>
    </row>
    <row r="22" spans="1:89" ht="11.1" customHeight="1" x14ac:dyDescent="0.35">
      <c r="A22" s="96"/>
      <c r="B22" s="235" t="s">
        <v>58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86"/>
      <c r="P22" s="286"/>
      <c r="Q22" s="286"/>
      <c r="R22" s="347"/>
      <c r="S22" s="343"/>
      <c r="T22" s="343"/>
      <c r="U22" s="343"/>
      <c r="V22" s="343"/>
      <c r="W22" s="343"/>
      <c r="X22" s="343"/>
      <c r="Y22" s="343"/>
      <c r="Z22" s="343"/>
      <c r="AA22" s="343"/>
      <c r="AB22" s="20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/>
      <c r="AZ22" s="343"/>
      <c r="BA22" s="343"/>
      <c r="BB22" s="343"/>
      <c r="BC22" s="343"/>
      <c r="BD22" s="343"/>
      <c r="BE22" s="344"/>
      <c r="BF22" s="260"/>
      <c r="BG22" s="261"/>
      <c r="BH22" s="257"/>
      <c r="BI22" s="257"/>
      <c r="BJ22" s="306"/>
      <c r="BK22" s="306"/>
      <c r="BL22" s="257"/>
      <c r="BM22" s="257"/>
      <c r="BN22" s="258"/>
      <c r="BO22" s="258"/>
      <c r="BP22" s="258"/>
      <c r="BQ22" s="258"/>
      <c r="BR22" s="257"/>
      <c r="BS22" s="257"/>
      <c r="BT22" s="258"/>
      <c r="BU22" s="258"/>
      <c r="BV22" s="258"/>
      <c r="BW22" s="258"/>
      <c r="BX22" s="259"/>
      <c r="BY22" s="97"/>
      <c r="BZ22" s="97"/>
      <c r="CA22" s="95"/>
      <c r="CB22" s="95"/>
      <c r="CC22" s="95"/>
      <c r="CD22" s="95"/>
      <c r="CE22" s="95"/>
      <c r="CF22" s="95"/>
      <c r="CG22" s="95"/>
      <c r="CH22" s="95"/>
      <c r="CI22" s="96"/>
      <c r="CJ22" s="96"/>
      <c r="CK22" s="96"/>
    </row>
    <row r="23" spans="1:89" ht="11.1" customHeight="1" x14ac:dyDescent="0.3">
      <c r="A23" s="96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86"/>
      <c r="P23" s="286"/>
      <c r="Q23" s="286"/>
      <c r="R23" s="347"/>
      <c r="S23" s="343"/>
      <c r="T23" s="343"/>
      <c r="U23" s="343"/>
      <c r="V23" s="343"/>
      <c r="W23" s="343"/>
      <c r="X23" s="343"/>
      <c r="Y23" s="343"/>
      <c r="Z23" s="343"/>
      <c r="AA23" s="343"/>
      <c r="AB23" s="20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4"/>
      <c r="BF23" s="260" t="s">
        <v>138</v>
      </c>
      <c r="BG23" s="261"/>
      <c r="BH23" s="257" t="s">
        <v>5</v>
      </c>
      <c r="BI23" s="257"/>
      <c r="BJ23" s="306"/>
      <c r="BK23" s="306"/>
      <c r="BL23" s="257" t="s">
        <v>6</v>
      </c>
      <c r="BM23" s="257"/>
      <c r="BN23" s="258"/>
      <c r="BO23" s="258"/>
      <c r="BP23" s="258"/>
      <c r="BQ23" s="258"/>
      <c r="BR23" s="257" t="s">
        <v>7</v>
      </c>
      <c r="BS23" s="257"/>
      <c r="BT23" s="258"/>
      <c r="BU23" s="258"/>
      <c r="BV23" s="258"/>
      <c r="BW23" s="258"/>
      <c r="BX23" s="259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</row>
    <row r="24" spans="1:89" ht="11.1" customHeight="1" x14ac:dyDescent="0.3">
      <c r="A24" s="96"/>
      <c r="B24" s="235" t="s">
        <v>59</v>
      </c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86"/>
      <c r="P24" s="286"/>
      <c r="Q24" s="286"/>
      <c r="R24" s="347"/>
      <c r="S24" s="343"/>
      <c r="T24" s="343"/>
      <c r="U24" s="343"/>
      <c r="V24" s="343"/>
      <c r="W24" s="343"/>
      <c r="X24" s="343"/>
      <c r="Y24" s="343"/>
      <c r="Z24" s="343"/>
      <c r="AA24" s="343"/>
      <c r="AB24" s="20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4"/>
      <c r="BF24" s="260"/>
      <c r="BG24" s="261"/>
      <c r="BH24" s="257"/>
      <c r="BI24" s="257"/>
      <c r="BJ24" s="306"/>
      <c r="BK24" s="306"/>
      <c r="BL24" s="257"/>
      <c r="BM24" s="257"/>
      <c r="BN24" s="258"/>
      <c r="BO24" s="258"/>
      <c r="BP24" s="258"/>
      <c r="BQ24" s="258"/>
      <c r="BR24" s="257"/>
      <c r="BS24" s="257"/>
      <c r="BT24" s="258"/>
      <c r="BU24" s="258"/>
      <c r="BV24" s="258"/>
      <c r="BW24" s="258"/>
      <c r="BX24" s="259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</row>
    <row r="25" spans="1:89" ht="11.1" customHeight="1" x14ac:dyDescent="0.3">
      <c r="A25" s="96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86"/>
      <c r="P25" s="286"/>
      <c r="Q25" s="286"/>
      <c r="R25" s="348" t="str">
        <f>IF(O26&gt;"0","SPAZI EQUIDISTANTI , SE DIVERSI ALLEGARE IL DISEGNO","")</f>
        <v/>
      </c>
      <c r="S25" s="348"/>
      <c r="T25" s="348"/>
      <c r="U25" s="348"/>
      <c r="V25" s="348"/>
      <c r="W25" s="348"/>
      <c r="X25" s="348"/>
      <c r="Y25" s="348"/>
      <c r="Z25" s="348"/>
      <c r="AA25" s="348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19"/>
      <c r="AM25" s="19"/>
      <c r="AN25" s="343"/>
      <c r="AO25" s="343"/>
      <c r="AP25" s="343"/>
      <c r="AQ25" s="343"/>
      <c r="AR25" s="343"/>
      <c r="AS25" s="343"/>
      <c r="AT25" s="343"/>
      <c r="AU25" s="343"/>
      <c r="AV25" s="343"/>
      <c r="AW25" s="343"/>
      <c r="AX25" s="343"/>
      <c r="AY25" s="343"/>
      <c r="AZ25" s="343"/>
      <c r="BA25" s="343"/>
      <c r="BB25" s="343"/>
      <c r="BC25" s="343"/>
      <c r="BD25" s="343"/>
      <c r="BE25" s="344"/>
      <c r="BF25" s="260" t="s">
        <v>139</v>
      </c>
      <c r="BG25" s="261"/>
      <c r="BH25" s="257" t="s">
        <v>5</v>
      </c>
      <c r="BI25" s="257"/>
      <c r="BJ25" s="306"/>
      <c r="BK25" s="306"/>
      <c r="BL25" s="257" t="s">
        <v>6</v>
      </c>
      <c r="BM25" s="257"/>
      <c r="BN25" s="258"/>
      <c r="BO25" s="258"/>
      <c r="BP25" s="258"/>
      <c r="BQ25" s="258"/>
      <c r="BR25" s="257" t="s">
        <v>7</v>
      </c>
      <c r="BS25" s="257"/>
      <c r="BT25" s="258"/>
      <c r="BU25" s="258"/>
      <c r="BV25" s="258"/>
      <c r="BW25" s="258"/>
      <c r="BX25" s="259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</row>
    <row r="26" spans="1:89" ht="11.1" customHeight="1" x14ac:dyDescent="0.3">
      <c r="A26" s="96"/>
      <c r="B26" s="235" t="s">
        <v>60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311"/>
      <c r="P26" s="311"/>
      <c r="Q26" s="311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20"/>
      <c r="AC26" s="20"/>
      <c r="AD26" s="21"/>
      <c r="AE26" s="21"/>
      <c r="AF26" s="292"/>
      <c r="AG26" s="293"/>
      <c r="AH26" s="293"/>
      <c r="AI26" s="293"/>
      <c r="AJ26" s="293"/>
      <c r="AK26" s="293"/>
      <c r="AL26" s="293"/>
      <c r="AM26" s="29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3"/>
      <c r="AZ26" s="343"/>
      <c r="BA26" s="343"/>
      <c r="BB26" s="343"/>
      <c r="BC26" s="343"/>
      <c r="BD26" s="343"/>
      <c r="BE26" s="344"/>
      <c r="BF26" s="349"/>
      <c r="BG26" s="350"/>
      <c r="BH26" s="262"/>
      <c r="BI26" s="262"/>
      <c r="BJ26" s="307"/>
      <c r="BK26" s="307"/>
      <c r="BL26" s="262"/>
      <c r="BM26" s="262"/>
      <c r="BN26" s="263"/>
      <c r="BO26" s="263"/>
      <c r="BP26" s="263"/>
      <c r="BQ26" s="263"/>
      <c r="BR26" s="262"/>
      <c r="BS26" s="262"/>
      <c r="BT26" s="263"/>
      <c r="BU26" s="263"/>
      <c r="BV26" s="263"/>
      <c r="BW26" s="263"/>
      <c r="BX26" s="264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</row>
    <row r="27" spans="1:89" ht="11.1" customHeight="1" x14ac:dyDescent="0.3">
      <c r="A27" s="96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311"/>
      <c r="P27" s="311"/>
      <c r="Q27" s="311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20"/>
      <c r="AC27" s="20"/>
      <c r="AD27" s="21"/>
      <c r="AE27" s="21"/>
      <c r="AF27" s="294"/>
      <c r="AG27" s="295"/>
      <c r="AH27" s="295"/>
      <c r="AI27" s="295"/>
      <c r="AJ27" s="295"/>
      <c r="AK27" s="295"/>
      <c r="AL27" s="295"/>
      <c r="AM27" s="295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4"/>
      <c r="BF27" s="325" t="s">
        <v>8</v>
      </c>
      <c r="BG27" s="326"/>
      <c r="BH27" s="326"/>
      <c r="BI27" s="326"/>
      <c r="BL27" s="270" t="s">
        <v>226</v>
      </c>
      <c r="BM27" s="271"/>
      <c r="BN27" s="271"/>
      <c r="BO27" s="271"/>
      <c r="BP27" s="271"/>
      <c r="BQ27" s="271"/>
      <c r="BR27" s="266" t="e">
        <f>IF(CARTELLINO!$Q$23="NO","",CARTELLINO!M90*2)</f>
        <v>#N/A</v>
      </c>
      <c r="BS27" s="266"/>
      <c r="BT27" s="266"/>
      <c r="BU27" s="266"/>
      <c r="BV27" s="266"/>
      <c r="BW27" s="266"/>
      <c r="BX27" s="267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</row>
    <row r="28" spans="1:89" ht="11.1" customHeight="1" x14ac:dyDescent="0.35">
      <c r="A28" s="96"/>
      <c r="B28" s="235" t="s">
        <v>61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88"/>
      <c r="P28" s="288"/>
      <c r="Q28" s="288"/>
      <c r="R28" s="22"/>
      <c r="S28" s="22"/>
      <c r="T28" s="22"/>
      <c r="U28" s="22"/>
      <c r="V28" s="22"/>
      <c r="W28" s="22"/>
      <c r="X28" s="22"/>
      <c r="AD28" s="21"/>
      <c r="AE28" s="21"/>
      <c r="AF28" s="296"/>
      <c r="AG28" s="297"/>
      <c r="AH28" s="297"/>
      <c r="AI28" s="297"/>
      <c r="AJ28" s="297"/>
      <c r="AK28" s="297"/>
      <c r="AL28" s="297"/>
      <c r="AM28" s="297"/>
      <c r="AN28" s="343"/>
      <c r="AO28" s="343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4"/>
      <c r="BF28" s="325"/>
      <c r="BG28" s="326"/>
      <c r="BH28" s="326"/>
      <c r="BI28" s="326"/>
      <c r="BL28" s="272"/>
      <c r="BM28" s="273"/>
      <c r="BN28" s="273"/>
      <c r="BO28" s="273"/>
      <c r="BP28" s="273"/>
      <c r="BQ28" s="273"/>
      <c r="BR28" s="268"/>
      <c r="BS28" s="268"/>
      <c r="BT28" s="268"/>
      <c r="BU28" s="268"/>
      <c r="BV28" s="268"/>
      <c r="BW28" s="268"/>
      <c r="BX28" s="269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</row>
    <row r="29" spans="1:89" ht="11.1" customHeight="1" x14ac:dyDescent="0.3">
      <c r="A29" s="96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88"/>
      <c r="P29" s="288"/>
      <c r="Q29" s="288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343"/>
      <c r="AO29" s="343"/>
      <c r="AP29" s="343"/>
      <c r="AQ29" s="343"/>
      <c r="AR29" s="343"/>
      <c r="AS29" s="343"/>
      <c r="AT29" s="343"/>
      <c r="AU29" s="343"/>
      <c r="AV29" s="343"/>
      <c r="AW29" s="343"/>
      <c r="AX29" s="343"/>
      <c r="AY29" s="343"/>
      <c r="AZ29" s="343"/>
      <c r="BA29" s="343"/>
      <c r="BB29" s="343"/>
      <c r="BC29" s="343"/>
      <c r="BD29" s="343"/>
      <c r="BE29" s="344"/>
      <c r="BF29" s="245" t="str">
        <f>IF(OR($F$38="3+3 TRASPARENTE",$F$38="3+3 ACIDATO",$F$38="3+3 BIANCO LATTE",$F$38="CANNETTATO VERTICALE",$F$38="CANNETTATO ORIZZONTALE"),"PREZZO VETRO A PARTE, DA RICHIEDERE","")</f>
        <v/>
      </c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</row>
    <row r="30" spans="1:89" ht="11.1" customHeight="1" x14ac:dyDescent="0.3">
      <c r="A30" s="96"/>
      <c r="B30" s="235" t="s">
        <v>65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86"/>
      <c r="P30" s="286"/>
      <c r="Q30" s="286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343"/>
      <c r="AO30" s="343"/>
      <c r="AP30" s="343"/>
      <c r="AQ30" s="343"/>
      <c r="AR30" s="343"/>
      <c r="AS30" s="343"/>
      <c r="AT30" s="343"/>
      <c r="AU30" s="343"/>
      <c r="AV30" s="343"/>
      <c r="AW30" s="343"/>
      <c r="AX30" s="343"/>
      <c r="AY30" s="343"/>
      <c r="AZ30" s="343"/>
      <c r="BA30" s="343"/>
      <c r="BB30" s="343"/>
      <c r="BC30" s="343"/>
      <c r="BD30" s="343"/>
      <c r="BE30" s="344"/>
      <c r="BF30" s="243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244"/>
      <c r="BV30" s="244"/>
      <c r="BW30" s="244"/>
      <c r="BX30" s="244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</row>
    <row r="31" spans="1:89" ht="11.1" customHeight="1" x14ac:dyDescent="0.3">
      <c r="A31" s="96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86"/>
      <c r="P31" s="286"/>
      <c r="Q31" s="286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343"/>
      <c r="AO31" s="343"/>
      <c r="AP31" s="343"/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4"/>
      <c r="BF31" s="243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</row>
    <row r="32" spans="1:89" ht="11.1" customHeight="1" x14ac:dyDescent="0.3">
      <c r="A32" s="96"/>
      <c r="B32" s="235" t="s">
        <v>62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88"/>
      <c r="P32" s="288"/>
      <c r="Q32" s="288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343"/>
      <c r="AO32" s="343"/>
      <c r="AP32" s="343"/>
      <c r="AQ32" s="343"/>
      <c r="AR32" s="343"/>
      <c r="AS32" s="343"/>
      <c r="AT32" s="343"/>
      <c r="AU32" s="343"/>
      <c r="AV32" s="343"/>
      <c r="AW32" s="343"/>
      <c r="AX32" s="343"/>
      <c r="AY32" s="343"/>
      <c r="AZ32" s="343"/>
      <c r="BA32" s="343"/>
      <c r="BB32" s="343"/>
      <c r="BC32" s="343"/>
      <c r="BD32" s="343"/>
      <c r="BE32" s="344"/>
      <c r="BF32" s="243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4"/>
      <c r="BR32" s="244"/>
      <c r="BS32" s="244"/>
      <c r="BT32" s="244"/>
      <c r="BU32" s="244"/>
      <c r="BV32" s="244"/>
      <c r="BW32" s="244"/>
      <c r="BX32" s="244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</row>
    <row r="33" spans="1:89" ht="11.1" customHeight="1" x14ac:dyDescent="0.3">
      <c r="A33" s="96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88"/>
      <c r="P33" s="288"/>
      <c r="Q33" s="288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343"/>
      <c r="AO33" s="343"/>
      <c r="AP33" s="343"/>
      <c r="AQ33" s="343"/>
      <c r="AR33" s="343"/>
      <c r="AS33" s="343"/>
      <c r="AT33" s="343"/>
      <c r="AU33" s="343"/>
      <c r="AV33" s="343"/>
      <c r="AW33" s="343"/>
      <c r="AX33" s="343"/>
      <c r="AY33" s="343"/>
      <c r="AZ33" s="343"/>
      <c r="BA33" s="343"/>
      <c r="BB33" s="343"/>
      <c r="BC33" s="343"/>
      <c r="BD33" s="343"/>
      <c r="BE33" s="344"/>
      <c r="BF33" s="243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244"/>
      <c r="BU33" s="244"/>
      <c r="BV33" s="244"/>
      <c r="BW33" s="244"/>
      <c r="BX33" s="244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</row>
    <row r="34" spans="1:89" ht="11.1" customHeight="1" x14ac:dyDescent="0.3">
      <c r="A34" s="96"/>
      <c r="B34" s="235" t="s">
        <v>63</v>
      </c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88"/>
      <c r="P34" s="288"/>
      <c r="Q34" s="288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343"/>
      <c r="AO34" s="343"/>
      <c r="AP34" s="343"/>
      <c r="AQ34" s="343"/>
      <c r="AR34" s="343"/>
      <c r="AS34" s="343"/>
      <c r="AT34" s="343"/>
      <c r="AU34" s="343"/>
      <c r="AV34" s="343"/>
      <c r="AW34" s="343"/>
      <c r="AX34" s="343"/>
      <c r="AY34" s="343"/>
      <c r="AZ34" s="343"/>
      <c r="BA34" s="343"/>
      <c r="BB34" s="343"/>
      <c r="BC34" s="343"/>
      <c r="BD34" s="343"/>
      <c r="BE34" s="344"/>
      <c r="BF34" s="243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</row>
    <row r="35" spans="1:89" ht="11.1" customHeight="1" x14ac:dyDescent="0.3">
      <c r="A35" s="96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88"/>
      <c r="P35" s="288"/>
      <c r="Q35" s="288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343"/>
      <c r="AO35" s="343"/>
      <c r="AP35" s="343"/>
      <c r="AQ35" s="343"/>
      <c r="AR35" s="343"/>
      <c r="AS35" s="343"/>
      <c r="AT35" s="343"/>
      <c r="AU35" s="343"/>
      <c r="AV35" s="343"/>
      <c r="AW35" s="343"/>
      <c r="AX35" s="343"/>
      <c r="AY35" s="343"/>
      <c r="AZ35" s="343"/>
      <c r="BA35" s="343"/>
      <c r="BB35" s="343"/>
      <c r="BC35" s="343"/>
      <c r="BD35" s="343"/>
      <c r="BE35" s="344"/>
      <c r="BF35" s="243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4"/>
      <c r="BW35" s="244"/>
      <c r="BX35" s="244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</row>
    <row r="36" spans="1:89" ht="11.1" customHeight="1" x14ac:dyDescent="0.3">
      <c r="A36" s="96"/>
      <c r="B36" s="235" t="s">
        <v>47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88"/>
      <c r="P36" s="288"/>
      <c r="Q36" s="288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343"/>
      <c r="AO36" s="343"/>
      <c r="AP36" s="343"/>
      <c r="AQ36" s="343"/>
      <c r="AR36" s="343"/>
      <c r="AS36" s="343"/>
      <c r="AT36" s="343"/>
      <c r="AU36" s="343"/>
      <c r="AV36" s="343"/>
      <c r="AW36" s="343"/>
      <c r="AX36" s="343"/>
      <c r="AY36" s="343"/>
      <c r="AZ36" s="343"/>
      <c r="BA36" s="343"/>
      <c r="BB36" s="343"/>
      <c r="BC36" s="343"/>
      <c r="BD36" s="343"/>
      <c r="BE36" s="344"/>
      <c r="BF36" s="247" t="str">
        <f>IF(O6&lt;&gt;"",IF(CARTELLINO!$Q$23="NO","NON C'E' IL VETRO SCELTO SP.6mm,            O CAMBIARE VETRO                                      O AGGIUNGERE N°1 TRAVERSO",""),"")</f>
        <v/>
      </c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97"/>
      <c r="BZ36" s="97"/>
      <c r="CA36" s="97"/>
      <c r="CB36" s="97"/>
      <c r="CC36" s="97"/>
      <c r="CD36" s="97"/>
      <c r="CE36" s="96"/>
      <c r="CF36" s="96"/>
      <c r="CG36" s="96"/>
      <c r="CH36" s="96"/>
      <c r="CI36" s="96"/>
      <c r="CJ36" s="96"/>
      <c r="CK36" s="96"/>
    </row>
    <row r="37" spans="1:89" ht="11.1" customHeight="1" x14ac:dyDescent="0.3">
      <c r="A37" s="96"/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7"/>
      <c r="P37" s="317"/>
      <c r="Q37" s="317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345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345"/>
      <c r="BA37" s="345"/>
      <c r="BB37" s="345"/>
      <c r="BC37" s="345"/>
      <c r="BD37" s="345"/>
      <c r="BE37" s="346"/>
      <c r="BF37" s="247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97"/>
      <c r="BZ37" s="97"/>
      <c r="CA37" s="97"/>
      <c r="CB37" s="97"/>
      <c r="CC37" s="97"/>
      <c r="CD37" s="97"/>
      <c r="CE37" s="96"/>
      <c r="CF37" s="96"/>
      <c r="CG37" s="96"/>
      <c r="CH37" s="96"/>
      <c r="CI37" s="96"/>
      <c r="CJ37" s="96"/>
      <c r="CK37" s="96"/>
    </row>
    <row r="38" spans="1:89" ht="11.1" customHeight="1" x14ac:dyDescent="0.3">
      <c r="A38" s="96"/>
      <c r="B38" s="315" t="s">
        <v>3</v>
      </c>
      <c r="C38" s="315"/>
      <c r="D38" s="315"/>
      <c r="E38" s="315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2" t="str">
        <f>IF(AND($O$20&lt;1),"",IF(AND($O$20=1),"L - 21 mm",IF(AND($O$20=2),"L - 42 mm","")))</f>
        <v/>
      </c>
      <c r="AK38" s="312"/>
      <c r="AL38" s="312"/>
      <c r="AM38" s="312"/>
      <c r="AN38" s="312"/>
      <c r="AO38" s="312"/>
      <c r="AP38" s="312"/>
      <c r="AQ38" s="312"/>
      <c r="AR38" s="312"/>
      <c r="AS38" s="312"/>
      <c r="AT38" s="312"/>
      <c r="AU38" s="312"/>
      <c r="AV38" s="312"/>
      <c r="AW38" s="312"/>
      <c r="AX38" s="312"/>
      <c r="AY38" s="312"/>
      <c r="AZ38" s="312"/>
      <c r="BA38" s="312"/>
      <c r="BB38" s="312"/>
      <c r="BC38" s="312"/>
      <c r="BD38" s="312"/>
      <c r="BE38" s="313"/>
      <c r="BF38" s="247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99"/>
      <c r="BZ38" s="99"/>
      <c r="CA38" s="99"/>
      <c r="CB38" s="99"/>
      <c r="CC38" s="99"/>
      <c r="CD38" s="99"/>
      <c r="CE38" s="96"/>
      <c r="CF38" s="96"/>
      <c r="CG38" s="96"/>
      <c r="CH38" s="96"/>
      <c r="CI38" s="96"/>
      <c r="CJ38" s="96"/>
      <c r="CK38" s="96"/>
    </row>
    <row r="39" spans="1:89" ht="11.1" customHeight="1" x14ac:dyDescent="0.3">
      <c r="A39" s="96"/>
      <c r="B39" s="315"/>
      <c r="C39" s="315"/>
      <c r="D39" s="315"/>
      <c r="E39" s="315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3"/>
      <c r="BF39" s="247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99"/>
      <c r="BZ39" s="99"/>
      <c r="CA39" s="99"/>
      <c r="CB39" s="99"/>
      <c r="CC39" s="99"/>
      <c r="CD39" s="99"/>
      <c r="CE39" s="96"/>
      <c r="CF39" s="96"/>
      <c r="CG39" s="96"/>
      <c r="CH39" s="96"/>
      <c r="CI39" s="96"/>
      <c r="CJ39" s="96"/>
      <c r="CK39" s="96"/>
    </row>
    <row r="40" spans="1:89" ht="11.1" customHeight="1" x14ac:dyDescent="0.35">
      <c r="A40" s="96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41" t="str">
        <f t="shared" ref="BF40" si="0">IF(AND($O$28="SI",$BS$12&lt;650),"SCONSIGLIAMO I DAMPER SOTTO a L 650mm",IF(AND($O$28="SI",$BS$12="",$BT$21&lt;650),"SCONSIGLIAMO I DAMPER SOTTO a L 650mm",""))</f>
        <v/>
      </c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95"/>
      <c r="BZ40" s="95"/>
      <c r="CA40" s="95"/>
      <c r="CB40" s="95"/>
      <c r="CC40" s="95"/>
      <c r="CD40" s="95"/>
      <c r="CE40" s="96"/>
      <c r="CF40" s="96"/>
      <c r="CG40" s="96"/>
      <c r="CH40" s="96"/>
      <c r="CI40" s="96"/>
      <c r="CJ40" s="96"/>
      <c r="CK40" s="96"/>
    </row>
    <row r="41" spans="1:89" ht="11.1" customHeight="1" x14ac:dyDescent="0.35">
      <c r="A41" s="96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41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95"/>
      <c r="BZ41" s="95"/>
      <c r="CA41" s="95"/>
      <c r="CB41" s="95"/>
      <c r="CC41" s="95"/>
      <c r="CD41" s="95"/>
      <c r="CE41" s="96"/>
      <c r="CF41" s="96"/>
      <c r="CG41" s="96"/>
      <c r="CH41" s="96"/>
      <c r="CI41" s="96"/>
      <c r="CJ41" s="96"/>
      <c r="CK41" s="96"/>
    </row>
    <row r="42" spans="1:89" ht="11.1" customHeight="1" x14ac:dyDescent="0.35">
      <c r="A42" s="96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41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95"/>
      <c r="BZ42" s="95"/>
      <c r="CA42" s="95"/>
      <c r="CB42" s="95"/>
      <c r="CC42" s="95"/>
      <c r="CD42" s="95"/>
      <c r="CE42" s="96"/>
      <c r="CF42" s="96"/>
      <c r="CG42" s="96"/>
      <c r="CH42" s="96"/>
      <c r="CI42" s="96"/>
      <c r="CJ42" s="96"/>
      <c r="CK42" s="96"/>
    </row>
    <row r="43" spans="1:89" ht="11.1" customHeight="1" x14ac:dyDescent="0.35">
      <c r="A43" s="96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41" t="str">
        <f>IF(AND(CARTELLINO!$E$40&gt;60),"SUPERATO IL LIMITE DI PESO","")</f>
        <v/>
      </c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95"/>
      <c r="BZ43" s="95"/>
      <c r="CA43" s="95"/>
      <c r="CB43" s="95"/>
      <c r="CC43" s="95"/>
      <c r="CD43" s="95"/>
      <c r="CE43" s="96"/>
      <c r="CF43" s="96"/>
      <c r="CG43" s="96"/>
      <c r="CH43" s="96"/>
      <c r="CI43" s="96"/>
      <c r="CJ43" s="96"/>
      <c r="CK43" s="96"/>
    </row>
    <row r="44" spans="1:89" ht="11.1" customHeight="1" x14ac:dyDescent="0.35">
      <c r="A44" s="96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41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95"/>
      <c r="BZ44" s="95"/>
      <c r="CA44" s="95"/>
      <c r="CB44" s="95"/>
      <c r="CC44" s="95"/>
      <c r="CD44" s="95"/>
      <c r="CE44" s="96"/>
      <c r="CF44" s="96"/>
      <c r="CG44" s="96"/>
      <c r="CH44" s="96"/>
      <c r="CI44" s="96"/>
      <c r="CJ44" s="96"/>
      <c r="CK44" s="96"/>
    </row>
    <row r="45" spans="1:89" ht="11.1" customHeight="1" x14ac:dyDescent="0.35">
      <c r="A45" s="96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41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42"/>
      <c r="BS45" s="242"/>
      <c r="BT45" s="242"/>
      <c r="BU45" s="242"/>
      <c r="BV45" s="242"/>
      <c r="BW45" s="242"/>
      <c r="BX45" s="242"/>
      <c r="BY45" s="95"/>
      <c r="BZ45" s="95"/>
      <c r="CA45" s="95"/>
      <c r="CB45" s="95"/>
      <c r="CC45" s="95"/>
      <c r="CD45" s="95"/>
      <c r="CE45" s="96"/>
      <c r="CF45" s="96"/>
      <c r="CG45" s="96"/>
      <c r="CH45" s="96"/>
      <c r="CI45" s="96"/>
      <c r="CJ45" s="96"/>
      <c r="CK45" s="96"/>
    </row>
    <row r="46" spans="1:89" ht="11.1" customHeight="1" x14ac:dyDescent="0.35">
      <c r="A46" s="96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39" t="str">
        <f>IF(AND($O$26=0,CARTELLINO!$K$28&lt;&gt;0),"AGGIUNGERE ALMENO N° 1 TRAVERSO",IF(AND($O$26=0,CARTELLINO!$E$27&gt;2400,CARTELLINO!$E$28&gt;800),"AGGIUNGERE ALMENO N° 1 TRAVERSO",IF(AND($O$26=0,CARTELLINO!$F$27&gt;2400,CARTELLINO!$F$28&gt;800),"AGGIUNGERE ALMENO N° 1 TRAVERSO",IF(AND($O$26=0,CARTELLINO!$G$27&gt;2400,CARTELLINO!$G$28&gt;800),"AGGIUNGERE ALMENO N° 1 TRAVERSO",""))))</f>
        <v/>
      </c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0"/>
      <c r="BR46" s="240"/>
      <c r="BS46" s="240"/>
      <c r="BT46" s="240"/>
      <c r="BU46" s="240"/>
      <c r="BV46" s="240"/>
      <c r="BW46" s="240"/>
      <c r="BX46" s="240"/>
      <c r="BY46" s="95"/>
      <c r="BZ46" s="95"/>
      <c r="CA46" s="95"/>
      <c r="CB46" s="95"/>
      <c r="CC46" s="95"/>
      <c r="CD46" s="95"/>
      <c r="CE46" s="96"/>
      <c r="CF46" s="96"/>
      <c r="CG46" s="96"/>
      <c r="CH46" s="96"/>
      <c r="CI46" s="96"/>
      <c r="CJ46" s="96"/>
      <c r="CK46" s="96"/>
    </row>
    <row r="47" spans="1:89" ht="11.1" customHeight="1" x14ac:dyDescent="0.35">
      <c r="A47" s="96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39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0"/>
      <c r="BR47" s="240"/>
      <c r="BS47" s="240"/>
      <c r="BT47" s="240"/>
      <c r="BU47" s="240"/>
      <c r="BV47" s="240"/>
      <c r="BW47" s="240"/>
      <c r="BX47" s="240"/>
      <c r="BY47" s="95"/>
      <c r="BZ47" s="95"/>
      <c r="CA47" s="95"/>
      <c r="CB47" s="95"/>
      <c r="CC47" s="95"/>
      <c r="CD47" s="95"/>
      <c r="CE47" s="96"/>
      <c r="CF47" s="96"/>
      <c r="CG47" s="96"/>
      <c r="CH47" s="96"/>
      <c r="CI47" s="96"/>
      <c r="CJ47" s="96"/>
      <c r="CK47" s="96"/>
    </row>
    <row r="48" spans="1:89" ht="11.1" customHeight="1" x14ac:dyDescent="0.35">
      <c r="A48" s="96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39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  <c r="BS48" s="240"/>
      <c r="BT48" s="240"/>
      <c r="BU48" s="240"/>
      <c r="BV48" s="240"/>
      <c r="BW48" s="240"/>
      <c r="BX48" s="240"/>
      <c r="BY48" s="95"/>
      <c r="BZ48" s="95"/>
      <c r="CA48" s="95"/>
      <c r="CB48" s="95"/>
      <c r="CC48" s="95"/>
      <c r="CD48" s="95"/>
      <c r="CE48" s="96"/>
      <c r="CF48" s="96"/>
      <c r="CG48" s="96"/>
      <c r="CH48" s="96"/>
      <c r="CI48" s="96"/>
      <c r="CJ48" s="96"/>
      <c r="CK48" s="96"/>
    </row>
    <row r="49" spans="1:89" ht="11.1" customHeight="1" x14ac:dyDescent="0.35">
      <c r="A49" s="96"/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39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95"/>
      <c r="BZ49" s="95"/>
      <c r="CA49" s="95"/>
      <c r="CB49" s="95"/>
      <c r="CC49" s="95"/>
      <c r="CD49" s="95"/>
      <c r="CE49" s="96"/>
      <c r="CF49" s="96"/>
      <c r="CG49" s="96"/>
      <c r="CH49" s="96"/>
      <c r="CI49" s="96"/>
      <c r="CJ49" s="96"/>
      <c r="CK49" s="96"/>
    </row>
    <row r="50" spans="1:89" ht="9.9" customHeight="1" x14ac:dyDescent="0.35">
      <c r="A50" s="96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7"/>
      <c r="BT50" s="97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6"/>
      <c r="CF50" s="96"/>
      <c r="CG50" s="96"/>
      <c r="CH50" s="96"/>
      <c r="CI50" s="96"/>
      <c r="CJ50" s="96"/>
      <c r="CK50" s="96"/>
    </row>
    <row r="51" spans="1:89" ht="9.9" customHeight="1" x14ac:dyDescent="0.35">
      <c r="A51" s="96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7"/>
      <c r="BT51" s="97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6"/>
      <c r="CF51" s="96"/>
      <c r="CG51" s="96"/>
      <c r="CH51" s="96"/>
      <c r="CI51" s="96"/>
      <c r="CJ51" s="96"/>
      <c r="CK51" s="96"/>
    </row>
    <row r="52" spans="1:89" ht="9.9" customHeight="1" x14ac:dyDescent="0.35">
      <c r="A52" s="96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97"/>
      <c r="BR52" s="95"/>
      <c r="BS52" s="97"/>
      <c r="BT52" s="97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6"/>
      <c r="CF52" s="96"/>
      <c r="CG52" s="96"/>
      <c r="CH52" s="96"/>
      <c r="CI52" s="96"/>
      <c r="CJ52" s="96"/>
      <c r="CK52" s="96"/>
    </row>
    <row r="53" spans="1:89" ht="9.9" customHeight="1" x14ac:dyDescent="0.35">
      <c r="A53" s="96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97"/>
      <c r="BR53" s="95"/>
      <c r="BS53" s="97"/>
      <c r="BT53" s="97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6"/>
      <c r="CF53" s="96"/>
      <c r="CG53" s="96"/>
      <c r="CH53" s="96"/>
      <c r="CI53" s="96"/>
      <c r="CJ53" s="96"/>
      <c r="CK53" s="96"/>
    </row>
    <row r="54" spans="1:89" ht="9.9" customHeight="1" x14ac:dyDescent="0.35">
      <c r="A54" s="9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7"/>
      <c r="BQ54" s="97"/>
      <c r="BR54" s="95"/>
      <c r="BS54" s="97"/>
      <c r="BT54" s="97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6"/>
      <c r="CG54" s="96"/>
      <c r="CH54" s="96"/>
      <c r="CI54" s="96"/>
      <c r="CJ54" s="96"/>
      <c r="CK54" s="96"/>
    </row>
    <row r="55" spans="1:89" ht="5.0999999999999996" customHeight="1" x14ac:dyDescent="0.35">
      <c r="A55" s="96"/>
      <c r="B55" s="100"/>
      <c r="C55" s="97"/>
      <c r="D55" s="97"/>
      <c r="E55" s="95"/>
      <c r="F55" s="95"/>
      <c r="G55" s="95"/>
      <c r="H55" s="95"/>
      <c r="I55" s="95"/>
      <c r="J55" s="95"/>
      <c r="K55" s="95"/>
      <c r="L55" s="97"/>
      <c r="M55" s="97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100"/>
      <c r="Y55" s="97"/>
      <c r="Z55" s="97"/>
      <c r="AA55" s="95"/>
      <c r="AB55" s="95"/>
      <c r="AC55" s="95"/>
      <c r="AD55" s="95"/>
      <c r="AE55" s="95"/>
      <c r="AF55" s="95"/>
      <c r="AG55" s="95"/>
      <c r="AH55" s="97"/>
      <c r="AI55" s="97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96"/>
      <c r="BG55" s="96"/>
      <c r="BH55" s="96"/>
      <c r="BI55" s="96"/>
      <c r="BJ55" s="95"/>
      <c r="BK55" s="95"/>
      <c r="BL55" s="95"/>
      <c r="BM55" s="95"/>
      <c r="BN55" s="95"/>
      <c r="BO55" s="95"/>
      <c r="BP55" s="95"/>
      <c r="BQ55" s="95"/>
      <c r="BR55" s="95"/>
      <c r="BS55" s="97"/>
      <c r="BT55" s="97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6"/>
      <c r="CF55" s="96"/>
      <c r="CG55" s="96"/>
      <c r="CH55" s="96"/>
      <c r="CI55" s="96"/>
      <c r="CJ55" s="96"/>
      <c r="CK55" s="96"/>
    </row>
    <row r="56" spans="1:89" ht="9.9" customHeight="1" x14ac:dyDescent="0.35">
      <c r="A56" s="96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95"/>
      <c r="AD56" s="95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5"/>
      <c r="AY56" s="95"/>
      <c r="AZ56" s="95"/>
      <c r="BA56" s="95"/>
      <c r="BB56" s="95"/>
      <c r="BC56" s="95"/>
      <c r="BD56" s="95"/>
      <c r="BE56" s="95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</row>
    <row r="57" spans="1:89" ht="9.9" customHeight="1" x14ac:dyDescent="0.35">
      <c r="A57" s="96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95"/>
      <c r="AD57" s="95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5"/>
      <c r="AY57" s="95"/>
      <c r="AZ57" s="95"/>
      <c r="BA57" s="95"/>
      <c r="BB57" s="95"/>
      <c r="BC57" s="95"/>
      <c r="BD57" s="95"/>
      <c r="BE57" s="95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</row>
    <row r="58" spans="1:89" ht="5.0999999999999996" customHeight="1" x14ac:dyDescent="0.35">
      <c r="A58" s="96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100"/>
      <c r="Y58" s="97"/>
      <c r="Z58" s="97"/>
      <c r="AA58" s="95"/>
      <c r="AB58" s="95"/>
      <c r="AC58" s="95"/>
      <c r="AD58" s="95"/>
      <c r="AE58" s="95"/>
      <c r="AF58" s="95"/>
      <c r="AG58" s="95"/>
      <c r="AH58" s="97"/>
      <c r="AI58" s="97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</row>
    <row r="59" spans="1:89" ht="9.9" customHeight="1" x14ac:dyDescent="0.35">
      <c r="A59" s="96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5"/>
      <c r="AD59" s="95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</row>
    <row r="60" spans="1:89" ht="9.9" customHeight="1" x14ac:dyDescent="0.35">
      <c r="A60" s="96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5"/>
      <c r="AD60" s="95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</row>
    <row r="61" spans="1:89" ht="9.9" customHeight="1" x14ac:dyDescent="0.35">
      <c r="A61" s="96"/>
      <c r="B61" s="97"/>
      <c r="C61" s="97"/>
      <c r="D61" s="95"/>
      <c r="E61" s="95"/>
      <c r="F61" s="95"/>
      <c r="G61" s="97"/>
      <c r="H61" s="97"/>
      <c r="I61" s="97"/>
      <c r="J61" s="95"/>
      <c r="K61" s="95"/>
      <c r="L61" s="95"/>
      <c r="M61" s="95"/>
      <c r="N61" s="95"/>
      <c r="O61" s="95"/>
      <c r="P61" s="95"/>
      <c r="Q61" s="95"/>
      <c r="R61" s="97"/>
      <c r="S61" s="97"/>
      <c r="T61" s="97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7"/>
      <c r="AF61" s="97"/>
      <c r="AG61" s="95"/>
      <c r="AH61" s="95"/>
      <c r="AI61" s="95"/>
      <c r="AJ61" s="97"/>
      <c r="AK61" s="97"/>
      <c r="AL61" s="97"/>
      <c r="AM61" s="95"/>
      <c r="AN61" s="95"/>
      <c r="AO61" s="95"/>
      <c r="AP61" s="95"/>
      <c r="AQ61" s="95"/>
      <c r="AR61" s="95"/>
      <c r="AS61" s="95"/>
      <c r="AT61" s="95"/>
      <c r="AU61" s="97"/>
      <c r="AV61" s="97"/>
      <c r="AW61" s="97"/>
      <c r="AX61" s="95"/>
      <c r="AY61" s="95"/>
      <c r="AZ61" s="95"/>
      <c r="BA61" s="95"/>
      <c r="BB61" s="95"/>
      <c r="BC61" s="95"/>
      <c r="BD61" s="95"/>
      <c r="BE61" s="95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7"/>
      <c r="BT61" s="97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6"/>
      <c r="CF61" s="96"/>
      <c r="CG61" s="96"/>
      <c r="CH61" s="96"/>
      <c r="CI61" s="96"/>
      <c r="CJ61" s="96"/>
      <c r="CK61" s="96"/>
    </row>
    <row r="62" spans="1:89" ht="9.9" customHeight="1" x14ac:dyDescent="0.35">
      <c r="A62" s="96"/>
      <c r="B62" s="97"/>
      <c r="C62" s="97"/>
      <c r="D62" s="95"/>
      <c r="E62" s="95"/>
      <c r="F62" s="95"/>
      <c r="G62" s="97"/>
      <c r="H62" s="97"/>
      <c r="I62" s="97"/>
      <c r="J62" s="95"/>
      <c r="K62" s="95"/>
      <c r="L62" s="95"/>
      <c r="M62" s="95"/>
      <c r="N62" s="95"/>
      <c r="O62" s="95"/>
      <c r="P62" s="95"/>
      <c r="Q62" s="95"/>
      <c r="R62" s="97"/>
      <c r="S62" s="97"/>
      <c r="T62" s="97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7"/>
      <c r="AF62" s="97"/>
      <c r="AG62" s="95"/>
      <c r="AH62" s="95"/>
      <c r="AI62" s="95"/>
      <c r="AJ62" s="97"/>
      <c r="AK62" s="97"/>
      <c r="AL62" s="97"/>
      <c r="AM62" s="95"/>
      <c r="AN62" s="95"/>
      <c r="AO62" s="95"/>
      <c r="AP62" s="95"/>
      <c r="AQ62" s="95"/>
      <c r="AR62" s="95"/>
      <c r="AS62" s="95"/>
      <c r="AT62" s="95"/>
      <c r="AU62" s="97"/>
      <c r="AV62" s="97"/>
      <c r="AW62" s="97"/>
      <c r="AX62" s="95"/>
      <c r="AY62" s="95"/>
      <c r="AZ62" s="95"/>
      <c r="BA62" s="95"/>
      <c r="BB62" s="95"/>
      <c r="BC62" s="95"/>
      <c r="BD62" s="95"/>
      <c r="BE62" s="95"/>
      <c r="BF62" s="96"/>
      <c r="BG62" s="96"/>
      <c r="BH62" s="96"/>
      <c r="BI62" s="96"/>
      <c r="BJ62" s="95"/>
      <c r="BK62" s="95"/>
      <c r="BL62" s="95"/>
      <c r="BM62" s="95"/>
      <c r="BN62" s="95"/>
      <c r="BO62" s="95"/>
      <c r="BP62" s="95"/>
      <c r="BQ62" s="95"/>
      <c r="BR62" s="95"/>
      <c r="BS62" s="97"/>
      <c r="BT62" s="97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6"/>
      <c r="CF62" s="96"/>
      <c r="CG62" s="96"/>
      <c r="CH62" s="96"/>
      <c r="CI62" s="96"/>
      <c r="CJ62" s="96"/>
      <c r="CK62" s="96"/>
    </row>
    <row r="63" spans="1:89" ht="5.0999999999999996" customHeight="1" x14ac:dyDescent="0.35">
      <c r="A63" s="96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97"/>
      <c r="AI63" s="97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</row>
    <row r="64" spans="1:89" ht="9.9" customHeight="1" x14ac:dyDescent="0.35">
      <c r="A64" s="96"/>
      <c r="B64" s="100"/>
      <c r="C64" s="97"/>
      <c r="D64" s="97"/>
      <c r="E64" s="95"/>
      <c r="F64" s="95"/>
      <c r="G64" s="95"/>
      <c r="H64" s="95"/>
      <c r="I64" s="95"/>
      <c r="J64" s="95"/>
      <c r="K64" s="95"/>
      <c r="L64" s="97"/>
      <c r="M64" s="97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100"/>
      <c r="Y64" s="100"/>
      <c r="Z64" s="100"/>
      <c r="AA64" s="100"/>
      <c r="AB64" s="100"/>
      <c r="AC64" s="95"/>
      <c r="AD64" s="95"/>
      <c r="AE64" s="97"/>
      <c r="AF64" s="97"/>
      <c r="AG64" s="95"/>
      <c r="AH64" s="95"/>
      <c r="AI64" s="95"/>
      <c r="AJ64" s="97"/>
      <c r="AK64" s="97"/>
      <c r="AL64" s="97"/>
      <c r="AM64" s="95"/>
      <c r="AN64" s="95"/>
      <c r="AO64" s="95"/>
      <c r="AP64" s="95"/>
      <c r="AQ64" s="95"/>
      <c r="AR64" s="95"/>
      <c r="AS64" s="95"/>
      <c r="AT64" s="95"/>
      <c r="AU64" s="97"/>
      <c r="AV64" s="97"/>
      <c r="AW64" s="97"/>
      <c r="AX64" s="95"/>
      <c r="AY64" s="95"/>
      <c r="AZ64" s="95"/>
      <c r="BA64" s="95"/>
      <c r="BB64" s="95"/>
      <c r="BC64" s="95"/>
      <c r="BD64" s="95"/>
      <c r="BE64" s="95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</row>
    <row r="65" spans="1:89" ht="9.9" customHeight="1" x14ac:dyDescent="0.35">
      <c r="A65" s="96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95"/>
      <c r="AD65" s="95"/>
      <c r="AE65" s="97"/>
      <c r="AF65" s="97"/>
      <c r="AG65" s="95"/>
      <c r="AH65" s="95"/>
      <c r="AI65" s="95"/>
      <c r="AJ65" s="97"/>
      <c r="AK65" s="97"/>
      <c r="AL65" s="97"/>
      <c r="AM65" s="95"/>
      <c r="AN65" s="95"/>
      <c r="AO65" s="95"/>
      <c r="AP65" s="95"/>
      <c r="AQ65" s="95"/>
      <c r="AR65" s="95"/>
      <c r="AS65" s="95"/>
      <c r="AT65" s="95"/>
      <c r="AU65" s="97"/>
      <c r="AV65" s="97"/>
      <c r="AW65" s="97"/>
      <c r="AX65" s="95"/>
      <c r="AY65" s="95"/>
      <c r="AZ65" s="95"/>
      <c r="BA65" s="95"/>
      <c r="BB65" s="95"/>
      <c r="BC65" s="95"/>
      <c r="BD65" s="95"/>
      <c r="BE65" s="95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</row>
    <row r="66" spans="1:89" ht="5.0999999999999996" customHeight="1" x14ac:dyDescent="0.35">
      <c r="A66" s="96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97"/>
      <c r="AI66" s="97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</row>
    <row r="67" spans="1:89" ht="9.9" customHeight="1" x14ac:dyDescent="0.35">
      <c r="A67" s="96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95"/>
      <c r="AD67" s="95"/>
      <c r="AE67" s="97"/>
      <c r="AF67" s="97"/>
      <c r="AG67" s="95"/>
      <c r="AH67" s="95"/>
      <c r="AI67" s="95"/>
      <c r="AJ67" s="97"/>
      <c r="AK67" s="97"/>
      <c r="AL67" s="97"/>
      <c r="AM67" s="95"/>
      <c r="AN67" s="95"/>
      <c r="AO67" s="95"/>
      <c r="AP67" s="95"/>
      <c r="AQ67" s="95"/>
      <c r="AR67" s="95"/>
      <c r="AS67" s="95"/>
      <c r="AT67" s="95"/>
      <c r="AU67" s="97"/>
      <c r="AV67" s="97"/>
      <c r="AW67" s="97"/>
      <c r="AX67" s="95"/>
      <c r="AY67" s="95"/>
      <c r="AZ67" s="95"/>
      <c r="BA67" s="95"/>
      <c r="BB67" s="95"/>
      <c r="BC67" s="95"/>
      <c r="BD67" s="95"/>
      <c r="BE67" s="95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</row>
    <row r="68" spans="1:89" ht="9.9" customHeight="1" x14ac:dyDescent="0.35">
      <c r="A68" s="96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95"/>
      <c r="AD68" s="95"/>
      <c r="AE68" s="97"/>
      <c r="AF68" s="97"/>
      <c r="AG68" s="95"/>
      <c r="AH68" s="95"/>
      <c r="AI68" s="95"/>
      <c r="AJ68" s="97"/>
      <c r="AK68" s="97"/>
      <c r="AL68" s="97"/>
      <c r="AM68" s="95"/>
      <c r="AN68" s="95"/>
      <c r="AO68" s="95"/>
      <c r="AP68" s="95"/>
      <c r="AQ68" s="95"/>
      <c r="AR68" s="95"/>
      <c r="AS68" s="95"/>
      <c r="AT68" s="95"/>
      <c r="AU68" s="97"/>
      <c r="AV68" s="97"/>
      <c r="AW68" s="97"/>
      <c r="AX68" s="95"/>
      <c r="AY68" s="95"/>
      <c r="AZ68" s="95"/>
      <c r="BA68" s="95"/>
      <c r="BB68" s="95"/>
      <c r="BC68" s="95"/>
      <c r="BD68" s="95"/>
      <c r="BE68" s="95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</row>
    <row r="69" spans="1:89" ht="9.9" customHeight="1" x14ac:dyDescent="0.35">
      <c r="A69" s="96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97"/>
      <c r="AI69" s="97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</row>
    <row r="70" spans="1:89" ht="9.9" customHeight="1" x14ac:dyDescent="0.3">
      <c r="A70" s="96"/>
      <c r="B70" s="103"/>
      <c r="C70" s="103"/>
      <c r="D70" s="103"/>
      <c r="E70" s="103"/>
      <c r="F70" s="103"/>
      <c r="G70" s="103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</row>
    <row r="71" spans="1:89" ht="9.9" customHeight="1" x14ac:dyDescent="0.3">
      <c r="A71" s="96"/>
      <c r="B71" s="103"/>
      <c r="C71" s="103"/>
      <c r="D71" s="103"/>
      <c r="E71" s="103"/>
      <c r="F71" s="103"/>
      <c r="G71" s="103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</row>
    <row r="72" spans="1:89" ht="9.9" customHeight="1" x14ac:dyDescent="0.3">
      <c r="A72" s="96"/>
      <c r="B72" s="103"/>
      <c r="C72" s="103"/>
      <c r="D72" s="103"/>
      <c r="E72" s="103"/>
      <c r="F72" s="103"/>
      <c r="G72" s="103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</row>
    <row r="73" spans="1:89" ht="9.9" customHeight="1" x14ac:dyDescent="0.3">
      <c r="A73" s="96"/>
      <c r="B73" s="103"/>
      <c r="C73" s="103"/>
      <c r="D73" s="103"/>
      <c r="E73" s="103"/>
      <c r="F73" s="103"/>
      <c r="G73" s="103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</row>
    <row r="74" spans="1:89" ht="14.1" customHeight="1" x14ac:dyDescent="0.3">
      <c r="A74" s="96"/>
      <c r="B74" s="103"/>
      <c r="C74" s="103"/>
      <c r="D74" s="103"/>
      <c r="E74" s="103"/>
      <c r="F74" s="103"/>
      <c r="G74" s="103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</row>
    <row r="75" spans="1:89" ht="14.1" customHeight="1" x14ac:dyDescent="0.3">
      <c r="A75" s="96"/>
      <c r="B75" s="103"/>
      <c r="C75" s="103"/>
      <c r="D75" s="103"/>
      <c r="E75" s="103"/>
      <c r="F75" s="103"/>
      <c r="G75" s="103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</row>
    <row r="76" spans="1:89" ht="9.9" customHeight="1" x14ac:dyDescent="0.3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</row>
    <row r="77" spans="1:89" ht="9.9" customHeight="1" x14ac:dyDescent="0.3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</row>
    <row r="78" spans="1:89" ht="9.9" customHeight="1" x14ac:dyDescent="0.3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</row>
    <row r="79" spans="1:89" ht="9.9" customHeight="1" x14ac:dyDescent="0.3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</row>
    <row r="80" spans="1:89" ht="9.9" customHeight="1" x14ac:dyDescent="0.3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</row>
    <row r="81" spans="1:89" ht="9.9" customHeight="1" x14ac:dyDescent="0.3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</row>
    <row r="82" spans="1:89" ht="9.9" customHeight="1" x14ac:dyDescent="0.3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</row>
    <row r="83" spans="1:89" ht="9.9" customHeight="1" x14ac:dyDescent="0.3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</row>
    <row r="84" spans="1:89" ht="9.9" customHeight="1" x14ac:dyDescent="0.3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</row>
    <row r="85" spans="1:89" ht="9.9" customHeight="1" x14ac:dyDescent="0.3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</row>
    <row r="86" spans="1:89" ht="9.9" customHeight="1" x14ac:dyDescent="0.3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</row>
    <row r="87" spans="1:89" ht="9.9" customHeight="1" x14ac:dyDescent="0.3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</row>
    <row r="88" spans="1:89" ht="9.9" customHeight="1" x14ac:dyDescent="0.3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</row>
    <row r="89" spans="1:89" ht="9.9" customHeight="1" x14ac:dyDescent="0.3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</row>
    <row r="90" spans="1:89" ht="9.9" customHeight="1" x14ac:dyDescent="0.3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</row>
    <row r="91" spans="1:89" ht="9.9" customHeight="1" x14ac:dyDescent="0.3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</row>
    <row r="92" spans="1:89" ht="9.9" customHeight="1" x14ac:dyDescent="0.3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</row>
    <row r="93" spans="1:89" ht="9.9" customHeight="1" x14ac:dyDescent="0.3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</row>
    <row r="94" spans="1:89" ht="9.9" customHeight="1" x14ac:dyDescent="0.3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</row>
    <row r="95" spans="1:89" ht="9.9" customHeight="1" x14ac:dyDescent="0.3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</row>
    <row r="96" spans="1:89" ht="9.9" customHeight="1" x14ac:dyDescent="0.3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</row>
    <row r="97" spans="1:89" ht="9.9" customHeight="1" x14ac:dyDescent="0.3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</row>
    <row r="98" spans="1:89" ht="9.9" customHeight="1" x14ac:dyDescent="0.3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</row>
    <row r="99" spans="1:89" ht="9.9" customHeight="1" x14ac:dyDescent="0.3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</row>
    <row r="100" spans="1:89" ht="9.9" customHeight="1" x14ac:dyDescent="0.3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</row>
    <row r="101" spans="1:89" ht="9.9" customHeight="1" x14ac:dyDescent="0.3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</row>
    <row r="102" spans="1:89" ht="9.9" customHeight="1" x14ac:dyDescent="0.3"/>
    <row r="103" spans="1:89" ht="9.9" customHeight="1" x14ac:dyDescent="0.3"/>
    <row r="104" spans="1:89" ht="9.9" customHeight="1" x14ac:dyDescent="0.3"/>
    <row r="105" spans="1:89" ht="9.9" customHeight="1" x14ac:dyDescent="0.3"/>
    <row r="106" spans="1:89" ht="9.9" customHeight="1" x14ac:dyDescent="0.3"/>
    <row r="107" spans="1:89" ht="9.9" customHeight="1" x14ac:dyDescent="0.3"/>
    <row r="108" spans="1:89" ht="9.9" customHeight="1" x14ac:dyDescent="0.3"/>
    <row r="109" spans="1:89" ht="9.9" customHeight="1" x14ac:dyDescent="0.3"/>
  </sheetData>
  <sheetProtection algorithmName="SHA-512" hashValue="8Tk8O7ZPFNhboBdIQh4YSx01woD2cVXgT58pXJTOWmaZ3jaUtN0MmVtE6MXLCweSwVzYqauDHBEO3RBodKLxZQ==" saltValue="+YlErD2Es4O/zOTAVxs1kg==" spinCount="100000" sheet="1" objects="1" scenarios="1" selectLockedCells="1"/>
  <mergeCells count="100">
    <mergeCell ref="O3:BX4"/>
    <mergeCell ref="BJ12:BK13"/>
    <mergeCell ref="BL12:BP13"/>
    <mergeCell ref="BQ12:BR13"/>
    <mergeCell ref="BS12:BX13"/>
    <mergeCell ref="AN12:BE37"/>
    <mergeCell ref="AC12:AM24"/>
    <mergeCell ref="R18:AA24"/>
    <mergeCell ref="R25:AA27"/>
    <mergeCell ref="BH21:BI22"/>
    <mergeCell ref="BJ21:BK22"/>
    <mergeCell ref="BL23:BM24"/>
    <mergeCell ref="BF23:BG24"/>
    <mergeCell ref="BH23:BI24"/>
    <mergeCell ref="BJ23:BK24"/>
    <mergeCell ref="BF25:BG26"/>
    <mergeCell ref="B5:N5"/>
    <mergeCell ref="O5:AJ5"/>
    <mergeCell ref="AK5:BE5"/>
    <mergeCell ref="BF27:BI28"/>
    <mergeCell ref="BF15:BX18"/>
    <mergeCell ref="BF19:BN20"/>
    <mergeCell ref="BO19:BX20"/>
    <mergeCell ref="O20:Q21"/>
    <mergeCell ref="R14:Y15"/>
    <mergeCell ref="O18:Q19"/>
    <mergeCell ref="BN23:BQ24"/>
    <mergeCell ref="BL21:BM22"/>
    <mergeCell ref="BN21:BQ22"/>
    <mergeCell ref="BR23:BS24"/>
    <mergeCell ref="BT23:BX24"/>
    <mergeCell ref="B16:N17"/>
    <mergeCell ref="B22:N23"/>
    <mergeCell ref="O36:Q37"/>
    <mergeCell ref="B18:N19"/>
    <mergeCell ref="B20:N21"/>
    <mergeCell ref="O34:Q35"/>
    <mergeCell ref="B36:N37"/>
    <mergeCell ref="B28:N29"/>
    <mergeCell ref="O22:Q23"/>
    <mergeCell ref="B30:N31"/>
    <mergeCell ref="B32:N33"/>
    <mergeCell ref="B34:N35"/>
    <mergeCell ref="O30:Q31"/>
    <mergeCell ref="B24:N25"/>
    <mergeCell ref="B26:N27"/>
    <mergeCell ref="B40:BE49"/>
    <mergeCell ref="AJ38:BE39"/>
    <mergeCell ref="F38:X39"/>
    <mergeCell ref="B38:E39"/>
    <mergeCell ref="Y38:AI39"/>
    <mergeCell ref="BH25:BI26"/>
    <mergeCell ref="BJ25:BK26"/>
    <mergeCell ref="BL25:BM26"/>
    <mergeCell ref="AS8:BE9"/>
    <mergeCell ref="O12:Q13"/>
    <mergeCell ref="AK8:AR9"/>
    <mergeCell ref="BF10:BN11"/>
    <mergeCell ref="O26:Q27"/>
    <mergeCell ref="O24:Q25"/>
    <mergeCell ref="B14:N15"/>
    <mergeCell ref="BO10:BX11"/>
    <mergeCell ref="BF12:BG13"/>
    <mergeCell ref="B8:N9"/>
    <mergeCell ref="B10:N11"/>
    <mergeCell ref="O8:AJ9"/>
    <mergeCell ref="O10:AJ11"/>
    <mergeCell ref="B12:N13"/>
    <mergeCell ref="O1:BG2"/>
    <mergeCell ref="BR27:BX28"/>
    <mergeCell ref="BL27:BQ28"/>
    <mergeCell ref="O6:AJ7"/>
    <mergeCell ref="AK6:AR7"/>
    <mergeCell ref="AS6:BE7"/>
    <mergeCell ref="R12:AB13"/>
    <mergeCell ref="O16:Q17"/>
    <mergeCell ref="Z14:AB15"/>
    <mergeCell ref="O28:Q29"/>
    <mergeCell ref="AK10:BE11"/>
    <mergeCell ref="BN25:BQ26"/>
    <mergeCell ref="R29:AM37"/>
    <mergeCell ref="AF26:AM28"/>
    <mergeCell ref="O32:Q33"/>
    <mergeCell ref="O14:Q15"/>
    <mergeCell ref="B6:N7"/>
    <mergeCell ref="BF5:BR5"/>
    <mergeCell ref="BS5:BX5"/>
    <mergeCell ref="BF46:BX49"/>
    <mergeCell ref="BF43:BX45"/>
    <mergeCell ref="BF40:BX42"/>
    <mergeCell ref="BF30:BX35"/>
    <mergeCell ref="BF29:BX29"/>
    <mergeCell ref="BF36:BX39"/>
    <mergeCell ref="BF6:BX9"/>
    <mergeCell ref="BH12:BI13"/>
    <mergeCell ref="BR21:BS22"/>
    <mergeCell ref="BT21:BX22"/>
    <mergeCell ref="BF21:BG22"/>
    <mergeCell ref="BR25:BS26"/>
    <mergeCell ref="BT25:BX26"/>
  </mergeCells>
  <conditionalFormatting sqref="F38">
    <cfRule type="expression" dxfId="61" priority="32">
      <formula>$F$38&lt;&gt;""</formula>
    </cfRule>
    <cfRule type="expression" dxfId="60" priority="33">
      <formula>$O$36&lt;&gt;""</formula>
    </cfRule>
  </conditionalFormatting>
  <conditionalFormatting sqref="O3">
    <cfRule type="expression" dxfId="59" priority="16">
      <formula>$N$3&lt;&gt;"OK"</formula>
    </cfRule>
  </conditionalFormatting>
  <conditionalFormatting sqref="O6">
    <cfRule type="expression" dxfId="58" priority="101">
      <formula>$O$3="COMPILARE I RIQUADRI VERDI : SCRIVERE LA RAGIONE SOCIALE"</formula>
    </cfRule>
    <cfRule type="expression" dxfId="57" priority="100">
      <formula>$O$6&lt;&gt;""</formula>
    </cfRule>
  </conditionalFormatting>
  <conditionalFormatting sqref="O8">
    <cfRule type="expression" dxfId="56" priority="26">
      <formula>$O$3=" SCRIVERE LA CITTA'"</formula>
    </cfRule>
    <cfRule type="expression" dxfId="55" priority="27">
      <formula>$O$8&lt;&gt;""</formula>
    </cfRule>
  </conditionalFormatting>
  <conditionalFormatting sqref="O10">
    <cfRule type="expression" dxfId="54" priority="99">
      <formula>$O$8&lt;&gt;""</formula>
    </cfRule>
    <cfRule type="expression" dxfId="53" priority="98">
      <formula>$O$10&lt;&gt;""</formula>
    </cfRule>
  </conditionalFormatting>
  <conditionalFormatting sqref="O12">
    <cfRule type="expression" dxfId="52" priority="87">
      <formula>$O$10&lt;&gt;""</formula>
    </cfRule>
    <cfRule type="expression" dxfId="51" priority="86">
      <formula>$O12&lt;&gt;""</formula>
    </cfRule>
  </conditionalFormatting>
  <conditionalFormatting sqref="O14">
    <cfRule type="expression" dxfId="50" priority="93">
      <formula>$O$3="CLICCA E SCEGLI IL N° DI BINARI NECESSARI "</formula>
    </cfRule>
    <cfRule type="expression" dxfId="49" priority="92">
      <formula>$O$14&lt;&gt;""</formula>
    </cfRule>
  </conditionalFormatting>
  <conditionalFormatting sqref="O16">
    <cfRule type="expression" dxfId="48" priority="81">
      <formula>$O14&lt;&gt;""</formula>
    </cfRule>
    <cfRule type="expression" dxfId="47" priority="80">
      <formula>$O16&lt;&gt;""</formula>
    </cfRule>
  </conditionalFormatting>
  <conditionalFormatting sqref="O18">
    <cfRule type="expression" dxfId="46" priority="71">
      <formula>$O16&lt;&gt;""</formula>
    </cfRule>
    <cfRule type="expression" dxfId="45" priority="70">
      <formula>$O18&lt;&gt;""</formula>
    </cfRule>
  </conditionalFormatting>
  <conditionalFormatting sqref="O20">
    <cfRule type="expression" dxfId="44" priority="75">
      <formula>$O18&lt;&gt;""</formula>
    </cfRule>
    <cfRule type="expression" dxfId="43" priority="74">
      <formula>$O20&lt;&gt;""</formula>
    </cfRule>
  </conditionalFormatting>
  <conditionalFormatting sqref="O22">
    <cfRule type="expression" dxfId="42" priority="61">
      <formula>$O20&lt;&gt;""</formula>
    </cfRule>
    <cfRule type="expression" dxfId="41" priority="60">
      <formula>$O22&lt;&gt;""</formula>
    </cfRule>
  </conditionalFormatting>
  <conditionalFormatting sqref="O24">
    <cfRule type="expression" dxfId="40" priority="59">
      <formula>$O22&lt;&gt;""</formula>
    </cfRule>
    <cfRule type="expression" dxfId="39" priority="58">
      <formula>$O24&lt;&gt;""</formula>
    </cfRule>
  </conditionalFormatting>
  <conditionalFormatting sqref="O26">
    <cfRule type="expression" dxfId="38" priority="55">
      <formula>$O24&lt;&gt;""</formula>
    </cfRule>
    <cfRule type="expression" dxfId="37" priority="54">
      <formula>$O26&lt;&gt;""</formula>
    </cfRule>
  </conditionalFormatting>
  <conditionalFormatting sqref="O28">
    <cfRule type="expression" dxfId="36" priority="53">
      <formula>$O26&lt;&gt;""</formula>
    </cfRule>
    <cfRule type="expression" dxfId="35" priority="52">
      <formula>$O28&lt;&gt;""</formula>
    </cfRule>
  </conditionalFormatting>
  <conditionalFormatting sqref="O30">
    <cfRule type="expression" dxfId="34" priority="48">
      <formula>$O30&lt;&gt;""</formula>
    </cfRule>
    <cfRule type="expression" dxfId="33" priority="49">
      <formula>$O28&lt;&gt;""</formula>
    </cfRule>
  </conditionalFormatting>
  <conditionalFormatting sqref="O32">
    <cfRule type="expression" dxfId="32" priority="45">
      <formula>$O$3="SCRIVI IL N° DI TRASCINAPORTA SX e DX NECESSARI (scrivi 0 se NON servono)"</formula>
    </cfRule>
    <cfRule type="expression" dxfId="31" priority="44">
      <formula>$O32&lt;&gt;""</formula>
    </cfRule>
  </conditionalFormatting>
  <conditionalFormatting sqref="O34">
    <cfRule type="expression" dxfId="30" priority="43">
      <formula>$O$3="SCRIVI IL N° DI TRASCINAPORTA SX e DX NECESSARI (scrivi 0 se NON servono)"</formula>
    </cfRule>
    <cfRule type="expression" dxfId="29" priority="42">
      <formula>$O$34&lt;&gt;""</formula>
    </cfRule>
  </conditionalFormatting>
  <conditionalFormatting sqref="O36">
    <cfRule type="expression" dxfId="28" priority="47">
      <formula>$O34&lt;&gt;""</formula>
    </cfRule>
    <cfRule type="expression" dxfId="27" priority="46">
      <formula>$O36&lt;&gt;""</formula>
    </cfRule>
  </conditionalFormatting>
  <conditionalFormatting sqref="O5:AJ5">
    <cfRule type="expression" dxfId="26" priority="3">
      <formula>$O$5&lt;&gt;""</formula>
    </cfRule>
    <cfRule type="expression" dxfId="25" priority="4">
      <formula>$O$3="CLICCA E SELEZIONA SE RITIRARE MERCE IN VPA O SE VOLETE LA CONSEGNA"</formula>
    </cfRule>
  </conditionalFormatting>
  <conditionalFormatting sqref="R12">
    <cfRule type="expression" dxfId="24" priority="85" stopIfTrue="1">
      <formula>$O$12&lt;&gt;""</formula>
    </cfRule>
  </conditionalFormatting>
  <conditionalFormatting sqref="R29">
    <cfRule type="expression" dxfId="23" priority="104">
      <formula>$W$29&lt;&gt;""</formula>
    </cfRule>
  </conditionalFormatting>
  <conditionalFormatting sqref="R12:AB13">
    <cfRule type="expression" dxfId="21" priority="84">
      <formula>$R$12&lt;&gt;""</formula>
    </cfRule>
  </conditionalFormatting>
  <conditionalFormatting sqref="Y38:AI39">
    <cfRule type="expression" dxfId="20" priority="21">
      <formula>$AF$26&lt;&gt;""</formula>
    </cfRule>
    <cfRule type="expression" dxfId="19" priority="20">
      <formula>$Y$38&lt;&gt;""</formula>
    </cfRule>
  </conditionalFormatting>
  <conditionalFormatting sqref="Z14">
    <cfRule type="expression" dxfId="17" priority="72">
      <formula>$Z$14&lt;&gt;""</formula>
    </cfRule>
    <cfRule type="expression" dxfId="16" priority="73">
      <formula>$R$14&lt;&gt;""</formula>
    </cfRule>
  </conditionalFormatting>
  <conditionalFormatting sqref="AD26">
    <cfRule type="expression" dxfId="15" priority="68">
      <formula>$W$29&lt;&gt;""</formula>
    </cfRule>
  </conditionalFormatting>
  <conditionalFormatting sqref="AF26:AM28">
    <cfRule type="expression" dxfId="13" priority="23">
      <formula>$F$38&lt;&gt;""</formula>
    </cfRule>
    <cfRule type="expression" dxfId="12" priority="22">
      <formula>$AF$26&lt;&gt;""</formula>
    </cfRule>
  </conditionalFormatting>
  <conditionalFormatting sqref="BF40">
    <cfRule type="expression" dxfId="11" priority="9">
      <formula>$BF$40&lt;&gt;""</formula>
    </cfRule>
  </conditionalFormatting>
  <conditionalFormatting sqref="BF43">
    <cfRule type="expression" dxfId="10" priority="10">
      <formula>$BF$43&lt;&gt;""</formula>
    </cfRule>
  </conditionalFormatting>
  <conditionalFormatting sqref="BF46">
    <cfRule type="expression" dxfId="9" priority="11">
      <formula>$BF$46&lt;&gt;""</formula>
    </cfRule>
  </conditionalFormatting>
  <conditionalFormatting sqref="BF29:BX29">
    <cfRule type="expression" dxfId="8" priority="6">
      <formula>$BF$29&lt;&gt;""</formula>
    </cfRule>
  </conditionalFormatting>
  <conditionalFormatting sqref="BF36:BX39">
    <cfRule type="expression" dxfId="7" priority="5">
      <formula>$BF$36&lt;&gt;""</formula>
    </cfRule>
  </conditionalFormatting>
  <conditionalFormatting sqref="BH1:BT2">
    <cfRule type="expression" dxfId="6" priority="7">
      <formula>$BH$1&lt;&gt;""</formula>
    </cfRule>
  </conditionalFormatting>
  <conditionalFormatting sqref="BO19">
    <cfRule type="expression" dxfId="5" priority="19">
      <formula>$O$3="SCRIVI nel riquadro VERDE la misura BINARIO"</formula>
    </cfRule>
    <cfRule type="expression" dxfId="4" priority="18">
      <formula>$BO$19&lt;&gt;""</formula>
    </cfRule>
  </conditionalFormatting>
  <conditionalFormatting sqref="BT21:BX22">
    <cfRule type="expression" dxfId="3" priority="15">
      <formula>$O$3="SCRIVI LA LARGHEZZA DELL'ANTA NEL RIQUADRO VERDE"</formula>
    </cfRule>
    <cfRule type="expression" dxfId="2" priority="14">
      <formula>$BT$21&lt;&gt;""</formula>
    </cfRule>
    <cfRule type="expression" dxfId="1" priority="13">
      <formula>$F$38=""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5" stopIfTrue="1" id="{86422F5D-FD87-4BAC-A669-CC3B0E9DD9E6}">
            <xm:f>DATI!$B$48="1"</xm:f>
            <x14:dxf>
              <fill>
                <gradientFill>
                  <stop position="0">
                    <color theme="0"/>
                  </stop>
                  <stop position="1">
                    <color rgb="FF99FF66"/>
                  </stop>
                </gradientFill>
              </fill>
            </x14:dxf>
          </x14:cfRule>
          <xm:sqref>R29</xm:sqref>
        </x14:conditionalFormatting>
        <x14:conditionalFormatting xmlns:xm="http://schemas.microsoft.com/office/excel/2006/main">
          <x14:cfRule type="expression" priority="12" id="{8A38DCBF-1227-402C-B43E-5EBEF2C785E7}">
            <xm:f>DATI!$B$26=0</xm:f>
            <x14:dxf>
              <fill>
                <patternFill>
                  <bgColor rgb="FFFFFFFF"/>
                </patternFill>
              </fill>
            </x14:dxf>
          </x14:cfRule>
          <xm:sqref>Y38:AI39</xm:sqref>
        </x14:conditionalFormatting>
        <x14:conditionalFormatting xmlns:xm="http://schemas.microsoft.com/office/excel/2006/main">
          <x14:cfRule type="expression" priority="69" stopIfTrue="1" id="{9229BC28-AF8B-4AB5-8F41-DCE09FD4E63A}">
            <xm:f>DATI!$B$48="1"</xm:f>
            <x14:dxf>
              <fill>
                <gradientFill>
                  <stop position="0">
                    <color theme="0"/>
                  </stop>
                  <stop position="1">
                    <color rgb="FF99FF66"/>
                  </stop>
                </gradientFill>
              </fill>
            </x14:dxf>
          </x14:cfRule>
          <xm:sqref>AD26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940A70E-9FBF-40C9-8794-BDC6996D8166}">
          <x14:formula1>
            <xm:f>DATI!$A$43:$A$45</xm:f>
          </x14:formula1>
          <xm:sqref>R12:AB13</xm:sqref>
        </x14:dataValidation>
        <x14:dataValidation type="list" allowBlank="1" showInputMessage="1" showErrorMessage="1" xr:uid="{B7A00CA7-E010-4243-847A-B64C4BE59F19}">
          <x14:formula1>
            <xm:f>DATI!$A$37:$A$38</xm:f>
          </x14:formula1>
          <xm:sqref>O28:Q29 O36:Q37</xm:sqref>
        </x14:dataValidation>
        <x14:dataValidation type="list" allowBlank="1" showInputMessage="1" showErrorMessage="1" xr:uid="{1477C09A-D263-4780-ABC4-F483518B2FA4}">
          <x14:formula1>
            <xm:f>DATI!$A$40:$A$41</xm:f>
          </x14:formula1>
          <xm:sqref>O12:Q13</xm:sqref>
        </x14:dataValidation>
        <x14:dataValidation type="list" allowBlank="1" showInputMessage="1" showErrorMessage="1" xr:uid="{3DAD9E05-76D2-42B4-BEB2-DFEDDD24B24D}">
          <x14:formula1>
            <xm:f>DATI!$A$33:$A$35</xm:f>
          </x14:formula1>
          <xm:sqref>O10</xm:sqref>
        </x14:dataValidation>
        <x14:dataValidation type="list" allowBlank="1" showInputMessage="1" showErrorMessage="1" xr:uid="{0128C2EB-99A2-4CA5-A39E-1919CB339E4F}">
          <x14:formula1>
            <xm:f>IF($R$14&lt;&gt;"",DATI!$A$37:$A$38,"")</xm:f>
          </x14:formula1>
          <xm:sqref>Z14:AB15</xm:sqref>
        </x14:dataValidation>
        <x14:dataValidation type="list" allowBlank="1" showInputMessage="1" showErrorMessage="1" xr:uid="{84DC984E-7809-4B3C-A068-614A3E5633E9}">
          <x14:formula1>
            <xm:f>DATI!$A$39:$A$42</xm:f>
          </x14:formula1>
          <xm:sqref>O14:Q15</xm:sqref>
        </x14:dataValidation>
        <x14:dataValidation type="list" allowBlank="1" showInputMessage="1" showErrorMessage="1" xr:uid="{893BF335-8571-4C3B-99AD-5BC2778F4713}">
          <x14:formula1>
            <xm:f>CARTELLINO!$R$26:$R$48</xm:f>
          </x14:formula1>
          <xm:sqref>F38:X39</xm:sqref>
        </x14:dataValidation>
        <x14:dataValidation type="list" allowBlank="1" showInputMessage="1" showErrorMessage="1" xr:uid="{986A5209-4825-457E-B99D-36D5CE19B5AD}">
          <x14:formula1>
            <xm:f>DATI!$G$43:$G$46</xm:f>
          </x14:formula1>
          <xm:sqref>O5:AJ5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C5F6-C618-4054-AB83-6DA682FFEFE3}">
  <sheetPr codeName="Foglio2">
    <pageSetUpPr fitToPage="1"/>
  </sheetPr>
  <dimension ref="A1:BO49"/>
  <sheetViews>
    <sheetView showGridLines="0" showRowColHeaders="0" view="pageBreakPreview" topLeftCell="A79" zoomScale="130" zoomScaleNormal="100" zoomScaleSheetLayoutView="130" workbookViewId="0">
      <selection activeCell="Q22" sqref="Q22"/>
    </sheetView>
  </sheetViews>
  <sheetFormatPr defaultRowHeight="14.4" x14ac:dyDescent="0.3"/>
  <cols>
    <col min="1" max="2" width="9.6640625" bestFit="1" customWidth="1"/>
    <col min="5" max="5" width="9.6640625" bestFit="1" customWidth="1"/>
    <col min="14" max="14" width="9.21875" bestFit="1" customWidth="1"/>
  </cols>
  <sheetData>
    <row r="1" spans="1:67" ht="363.75" customHeight="1" x14ac:dyDescent="0.3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</row>
    <row r="2" spans="1:67" x14ac:dyDescent="0.3">
      <c r="A2" s="351" t="s">
        <v>9</v>
      </c>
      <c r="B2" s="351"/>
      <c r="C2" s="351"/>
      <c r="D2" s="351"/>
      <c r="E2" s="351" t="s">
        <v>10</v>
      </c>
      <c r="F2" s="351"/>
      <c r="G2" s="351"/>
      <c r="H2" s="351"/>
      <c r="I2" s="351" t="s">
        <v>11</v>
      </c>
      <c r="J2" s="351"/>
      <c r="K2" s="351"/>
      <c r="L2" s="351"/>
      <c r="M2" s="351" t="s">
        <v>12</v>
      </c>
      <c r="N2" s="351"/>
      <c r="O2" s="351"/>
      <c r="P2" s="351"/>
      <c r="Q2" s="351" t="s">
        <v>13</v>
      </c>
      <c r="R2" s="351"/>
      <c r="S2" s="351"/>
      <c r="T2" s="351"/>
      <c r="U2" s="351" t="s">
        <v>33</v>
      </c>
      <c r="V2" s="351"/>
      <c r="W2" s="351"/>
      <c r="X2" s="351"/>
      <c r="Y2">
        <v>0</v>
      </c>
      <c r="AC2" t="s">
        <v>33</v>
      </c>
    </row>
    <row r="3" spans="1:67" x14ac:dyDescent="0.3">
      <c r="A3" s="351" t="s">
        <v>26</v>
      </c>
      <c r="B3" s="351"/>
      <c r="C3" s="351"/>
      <c r="D3" s="351"/>
      <c r="E3" s="351" t="s">
        <v>28</v>
      </c>
      <c r="F3" s="351"/>
      <c r="G3" s="351"/>
      <c r="H3" s="351"/>
      <c r="I3" s="351" t="s">
        <v>30</v>
      </c>
      <c r="J3" s="351"/>
      <c r="K3" s="351"/>
      <c r="L3" s="351"/>
      <c r="M3" s="351" t="s">
        <v>28</v>
      </c>
      <c r="N3" s="351"/>
      <c r="O3" s="351"/>
      <c r="P3" s="351"/>
      <c r="Q3" s="351" t="s">
        <v>30</v>
      </c>
      <c r="R3" s="351"/>
      <c r="S3" s="351"/>
      <c r="T3" s="351"/>
      <c r="U3" s="351"/>
      <c r="V3" s="351"/>
      <c r="W3" s="351"/>
      <c r="X3" s="351"/>
      <c r="Y3">
        <v>1</v>
      </c>
      <c r="Z3" t="s">
        <v>26</v>
      </c>
      <c r="AC3" t="s">
        <v>9</v>
      </c>
    </row>
    <row r="4" spans="1:67" x14ac:dyDescent="0.3">
      <c r="A4" s="351">
        <v>1</v>
      </c>
      <c r="B4" s="351"/>
      <c r="C4" s="351"/>
      <c r="D4" s="351"/>
      <c r="E4" s="351">
        <v>1</v>
      </c>
      <c r="F4" s="351"/>
      <c r="G4" s="351"/>
      <c r="H4" s="351"/>
      <c r="I4" s="351">
        <v>1</v>
      </c>
      <c r="J4" s="351"/>
      <c r="K4" s="351"/>
      <c r="L4" s="351"/>
      <c r="M4" s="351">
        <v>2</v>
      </c>
      <c r="N4" s="351"/>
      <c r="O4" s="351"/>
      <c r="P4" s="351"/>
      <c r="Q4" s="351">
        <v>2</v>
      </c>
      <c r="R4" s="351"/>
      <c r="S4" s="351"/>
      <c r="T4" s="351"/>
      <c r="Y4">
        <v>1</v>
      </c>
      <c r="Z4" t="s">
        <v>28</v>
      </c>
      <c r="AC4" t="s">
        <v>10</v>
      </c>
    </row>
    <row r="5" spans="1:67" x14ac:dyDescent="0.3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Y5">
        <v>1</v>
      </c>
      <c r="Z5" t="s">
        <v>30</v>
      </c>
      <c r="AC5" t="s">
        <v>11</v>
      </c>
    </row>
    <row r="6" spans="1:67" x14ac:dyDescent="0.3">
      <c r="Y6">
        <v>2</v>
      </c>
      <c r="Z6" t="s">
        <v>28</v>
      </c>
      <c r="AC6" t="s">
        <v>12</v>
      </c>
    </row>
    <row r="7" spans="1:67" x14ac:dyDescent="0.3">
      <c r="J7">
        <f>INDEX(DATI!$K$10:$V$10,MATCH($D$49,DATI!$K$9:$V$9,0))</f>
        <v>0</v>
      </c>
      <c r="Y7">
        <v>2</v>
      </c>
      <c r="Z7" t="s">
        <v>30</v>
      </c>
      <c r="AC7" t="s">
        <v>13</v>
      </c>
    </row>
    <row r="8" spans="1:67" x14ac:dyDescent="0.3">
      <c r="A8" s="355" t="str">
        <f>IF(MODULO!$O$20&gt;0,"T","NOT")</f>
        <v>NOT</v>
      </c>
      <c r="B8" s="355"/>
      <c r="C8" s="351"/>
      <c r="D8" s="351"/>
      <c r="E8" s="355" t="str">
        <f>B48</f>
        <v>NO TRASC</v>
      </c>
      <c r="F8" s="355"/>
      <c r="G8" s="355"/>
      <c r="H8" s="355"/>
      <c r="I8" s="355"/>
      <c r="J8" s="355"/>
      <c r="K8" s="351"/>
      <c r="L8" s="351"/>
      <c r="M8" s="351"/>
      <c r="N8" s="351"/>
      <c r="O8" s="351"/>
      <c r="P8" s="351"/>
    </row>
    <row r="9" spans="1:67" x14ac:dyDescent="0.3">
      <c r="A9" s="356" t="s">
        <v>34</v>
      </c>
      <c r="B9" s="356"/>
      <c r="C9" s="356" t="s">
        <v>35</v>
      </c>
      <c r="D9" s="356"/>
      <c r="E9" s="356" t="s">
        <v>37</v>
      </c>
      <c r="F9" s="356"/>
      <c r="G9" s="356"/>
      <c r="H9" s="356"/>
      <c r="I9" s="356"/>
      <c r="J9" s="356"/>
      <c r="K9" s="356" t="s">
        <v>36</v>
      </c>
      <c r="L9" s="356"/>
      <c r="M9" s="356"/>
      <c r="N9" s="356"/>
      <c r="O9" s="356"/>
      <c r="P9" s="356"/>
      <c r="Q9" s="356" t="s">
        <v>38</v>
      </c>
      <c r="R9" s="356"/>
      <c r="S9" s="356"/>
      <c r="T9" s="356"/>
      <c r="U9" s="356"/>
      <c r="V9" s="356"/>
      <c r="AC9" t="str">
        <f>IF(MODULO!$O$12="",$AC$2,IF(AND(MODULO!$O$12=1,MODULO!$R$12=DATI!$Z$3),DATI!$AC$3,IF(AND(MODULO!$O$12=1,MODULO!$R$12=DATI!$Z$4),DATI!$AC$4,IF(AND(MODULO!$O$12=1,MODULO!$R$12=DATI!$Z$5),DATI!$AC$5,IF(AND(MODULO!$O$12=2,MODULO!$R$12=DATI!$Z$6),DATI!$AC$6,IF(AND(MODULO!$O$12=2,MODULO!$R$12=DATI!$Z$7),DATI!$AC$7))))))</f>
        <v>F</v>
      </c>
    </row>
    <row r="10" spans="1:67" ht="113.25" customHeight="1" x14ac:dyDescent="0.3">
      <c r="A10" s="351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</row>
    <row r="11" spans="1:67" ht="143.25" customHeight="1" x14ac:dyDescent="0.3">
      <c r="A11" s="351"/>
      <c r="B11" s="351"/>
      <c r="C11" s="351"/>
      <c r="D11" s="351"/>
      <c r="E11" s="351"/>
      <c r="F11" s="351"/>
    </row>
    <row r="12" spans="1:67" x14ac:dyDescent="0.3">
      <c r="A12" s="351" t="s">
        <v>48</v>
      </c>
      <c r="B12" s="351"/>
      <c r="C12" s="351"/>
      <c r="D12" s="351" t="s">
        <v>49</v>
      </c>
      <c r="E12" s="351"/>
      <c r="F12" s="351"/>
    </row>
    <row r="13" spans="1:67" x14ac:dyDescent="0.3">
      <c r="A13" s="352" t="str">
        <f>IF(MODULO!$Z$14="SI","CON","SENZA")</f>
        <v>SENZA</v>
      </c>
      <c r="B13" s="353"/>
      <c r="C13" s="354"/>
    </row>
    <row r="14" spans="1:67" ht="129.9" customHeight="1" x14ac:dyDescent="0.3"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</row>
    <row r="15" spans="1:67" x14ac:dyDescent="0.3">
      <c r="A15">
        <v>0</v>
      </c>
      <c r="B15" s="351" t="s">
        <v>50</v>
      </c>
      <c r="C15" s="351"/>
      <c r="D15" s="351"/>
      <c r="E15" s="351"/>
      <c r="F15" s="351"/>
      <c r="G15" s="351"/>
      <c r="H15" s="351" t="s">
        <v>51</v>
      </c>
      <c r="I15" s="351"/>
      <c r="J15" s="351"/>
      <c r="K15" s="351"/>
      <c r="L15" s="351"/>
      <c r="M15" s="351"/>
      <c r="N15" s="351"/>
      <c r="O15" s="351"/>
      <c r="P15" s="351" t="s">
        <v>52</v>
      </c>
      <c r="Q15" s="351"/>
      <c r="R15" s="351"/>
      <c r="S15" s="351"/>
      <c r="T15" s="351"/>
      <c r="U15" s="351"/>
      <c r="V15" s="351"/>
      <c r="W15" s="351" t="s">
        <v>53</v>
      </c>
      <c r="X15" s="351"/>
      <c r="Y15" s="351"/>
      <c r="Z15" s="351"/>
      <c r="AA15" s="351"/>
      <c r="AB15" s="351"/>
      <c r="AC15" s="351"/>
      <c r="AD15" s="351"/>
      <c r="AE15" s="351"/>
      <c r="AF15" s="351" t="s">
        <v>54</v>
      </c>
      <c r="AG15" s="351"/>
      <c r="AH15" s="351"/>
      <c r="AI15" s="351"/>
      <c r="AJ15" s="351"/>
      <c r="AK15" s="351"/>
      <c r="AL15" s="351"/>
      <c r="AM15" s="351"/>
      <c r="AN15" s="351"/>
      <c r="AO15" s="351"/>
      <c r="AP15" s="351" t="s">
        <v>55</v>
      </c>
      <c r="AQ15" s="351"/>
      <c r="AR15" s="351"/>
      <c r="AS15" s="351"/>
      <c r="AT15" s="351"/>
      <c r="AU15" s="351"/>
      <c r="AV15" s="351"/>
      <c r="AW15" s="351" t="s">
        <v>56</v>
      </c>
      <c r="AX15" s="351"/>
      <c r="AY15" s="351"/>
      <c r="AZ15" s="351"/>
      <c r="BA15" s="351"/>
      <c r="BB15" s="351"/>
      <c r="BC15" s="351"/>
      <c r="BD15" s="351"/>
      <c r="BE15" s="351"/>
      <c r="BF15" s="351" t="s">
        <v>57</v>
      </c>
      <c r="BG15" s="351"/>
      <c r="BH15" s="351"/>
      <c r="BI15" s="351"/>
      <c r="BJ15" s="351"/>
      <c r="BK15" s="351"/>
      <c r="BL15" s="351"/>
      <c r="BM15" s="351"/>
      <c r="BN15" s="351"/>
      <c r="BO15" s="351"/>
    </row>
    <row r="16" spans="1:67" x14ac:dyDescent="0.3"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</row>
    <row r="17" spans="1:41" ht="62.25" customHeight="1" thickBot="1" x14ac:dyDescent="0.35">
      <c r="H17" s="351"/>
      <c r="I17" s="351"/>
      <c r="J17" s="351"/>
      <c r="K17" s="351"/>
      <c r="L17" s="351"/>
      <c r="M17" s="351"/>
      <c r="N17" s="16"/>
      <c r="O17" s="155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</row>
    <row r="18" spans="1:41" ht="15" thickBot="1" x14ac:dyDescent="0.35">
      <c r="A18" t="str">
        <f>IF(AND(MODULO!$O$12=1,MODULO!$O$22=1,MODULO!O20&lt;1),1,"")</f>
        <v/>
      </c>
      <c r="B18" t="s">
        <v>50</v>
      </c>
      <c r="E18" s="18" t="str">
        <f>IF(AND($B$26="1VIA1ANTA"),MODULO!$Y$38+32,IF(AND($B$26="1VIA2ANTE"),MODULO!$Y$38/2+16,IF(AND($B$26="2VIE2ANTE"),(MODULO!$Y$38+42-26)/2,IF(AND($B$26="2VIE3ANTE"),(MODULO!$Y$38+42-11)/3,IF(AND($B$26="2VIE4ANTE"),(MODULO!$Y$38+42-11)/4,IF(AND($B$26="2VIE2ANTECON",MODULO!$O$20=1),(MODULO!$Y$38+21-26)/2,IF(AND($B$26="2VIE3ANTECON",MODULO!$O$20=1),(MODULO!$Y$38+21-11)/3,IF(AND($B$26="2VIE4ANTECON",MODULO!$O$20=1),(MODULO!$Y$38+21-11)/4,IF(AND($B$26="2VIE2ANTECON",MODULO!$O$20=2),(MODULO!$Y$38-26)/2,IF(AND($B$26="2VIE3ANTECON",MODULO!$O$20=2),(MODULO!$Y$38-11)/3,IF(AND($B$26="2VIE4ANTECON",MODULO!$O$20=2),(MODULO!$Y$38-11)/4,"")))))))))))</f>
        <v/>
      </c>
      <c r="H18" s="362" t="s">
        <v>77</v>
      </c>
      <c r="I18" s="362"/>
      <c r="J18" s="362"/>
      <c r="K18" s="362" t="s">
        <v>83</v>
      </c>
      <c r="L18" s="362"/>
      <c r="M18" s="362"/>
      <c r="N18" s="155" t="s">
        <v>2</v>
      </c>
      <c r="O18" s="155" t="s">
        <v>21</v>
      </c>
      <c r="P18" s="16" t="str">
        <f>IF(OR(MODULO!$R$12="FISSAGGIO A PARETE",$N$20=0),"NO","SI")</f>
        <v>NO</v>
      </c>
    </row>
    <row r="19" spans="1:41" x14ac:dyDescent="0.3">
      <c r="A19" t="str">
        <f>IF(AND(MODULO!$O$12=1,MODULO!$O$22=2,MODULO!O20&lt;1),2,"")</f>
        <v/>
      </c>
      <c r="B19" t="s">
        <v>51</v>
      </c>
      <c r="K19" t="str">
        <f>CARTELLINO!$E$44</f>
        <v/>
      </c>
      <c r="N19" s="155" t="str">
        <f>IF(AND($K$19="PR957000042ZZ",$N$20&lt;&gt;0),"2",IF(AND($K$19="PR957000041ZZ",$N$20&lt;&gt;0),"1",""))</f>
        <v/>
      </c>
      <c r="O19" t="s">
        <v>245</v>
      </c>
    </row>
    <row r="20" spans="1:41" x14ac:dyDescent="0.3">
      <c r="A20" t="str">
        <f>IF(AND(MODULO!$O$12=2,MODULO!$O$22=2,MODULO!O20&lt;1),3,"")</f>
        <v/>
      </c>
      <c r="B20" t="s">
        <v>52</v>
      </c>
      <c r="N20" s="155">
        <f>CARTELLINO!H44</f>
        <v>0</v>
      </c>
      <c r="O20" t="s">
        <v>246</v>
      </c>
    </row>
    <row r="21" spans="1:41" x14ac:dyDescent="0.3">
      <c r="A21" t="str">
        <f>IF(AND(MODULO!$O$12=2,MODULO!$O$22=3,MODULO!O20&lt;1),4,"")</f>
        <v/>
      </c>
      <c r="B21" t="s">
        <v>53</v>
      </c>
      <c r="N21" s="155" t="str">
        <f>IF(N20&gt;0,(1+(CARTELLINO!I44/500*N20*N19)),"")</f>
        <v/>
      </c>
      <c r="O21" t="s">
        <v>247</v>
      </c>
      <c r="Q21" t="str">
        <f>IF(N21&lt;&gt;"",_xlfn.CEILING.MATH(N21),"")</f>
        <v/>
      </c>
    </row>
    <row r="22" spans="1:41" x14ac:dyDescent="0.3">
      <c r="A22" t="str">
        <f>IF(AND(MODULO!$O$12=2,MODULO!$O$22=4,MODULO!O20&lt;1),5,"")</f>
        <v/>
      </c>
      <c r="B22" t="s">
        <v>54</v>
      </c>
    </row>
    <row r="23" spans="1:41" x14ac:dyDescent="0.3">
      <c r="A23" t="str">
        <f>IF(AND(MODULO!$O$12=2,MODULO!$O$22=2,MODULO!O20&gt;0),6,"")</f>
        <v/>
      </c>
      <c r="B23" t="s">
        <v>55</v>
      </c>
    </row>
    <row r="24" spans="1:41" x14ac:dyDescent="0.3">
      <c r="A24" t="str">
        <f>IF(AND(MODULO!$O$12=2,MODULO!$O$22=3,MODULO!O20&gt;0),7,"")</f>
        <v/>
      </c>
      <c r="B24" t="s">
        <v>56</v>
      </c>
      <c r="N24" s="155"/>
    </row>
    <row r="25" spans="1:41" ht="15" thickBot="1" x14ac:dyDescent="0.35">
      <c r="A25" t="str">
        <f>IF(AND(MODULO!$O$12=2,MODULO!$O$22=4,MODULO!O20&gt;0),8,"")</f>
        <v/>
      </c>
      <c r="B25" t="s">
        <v>57</v>
      </c>
      <c r="N25" s="155"/>
    </row>
    <row r="26" spans="1:41" ht="15" thickBot="1" x14ac:dyDescent="0.35">
      <c r="A26" s="16">
        <f>SUM(A18:A25)</f>
        <v>0</v>
      </c>
      <c r="B26" s="15">
        <f>IF(AND($A$26=0),0,IF(AND($A$26=1),$B$18,IF(AND($A$26=2),$B$19,IF(AND($A$26=3),$B$20,IF(AND($A$26=4),$B$21,IF(AND($A$26=5),$B$22,IF(AND($A$26=6),$B$23,IF(AND($A$26=7),$B$24,IF(AND($A$26=8),$B$25,"")))))))))</f>
        <v>0</v>
      </c>
      <c r="C26" s="17"/>
      <c r="D26" s="18">
        <f>IF(AND(MODULO!$AJ$38="L - 21 mm"),-21,IF(AND(MODULO!$AJ$38="L - 42 mm"),-42,IF(AND(MODULO!$AJ$38="L - 63 mm"),-63,0)))</f>
        <v>0</v>
      </c>
      <c r="N26" s="155"/>
    </row>
    <row r="32" spans="1:41" x14ac:dyDescent="0.3">
      <c r="A32" s="1" t="s">
        <v>0</v>
      </c>
    </row>
    <row r="33" spans="1:7" x14ac:dyDescent="0.3">
      <c r="A33" s="1" t="s">
        <v>14</v>
      </c>
      <c r="B33" s="2"/>
    </row>
    <row r="34" spans="1:7" x14ac:dyDescent="0.3">
      <c r="A34" s="1" t="s">
        <v>1</v>
      </c>
      <c r="B34" s="2"/>
    </row>
    <row r="35" spans="1:7" x14ac:dyDescent="0.3">
      <c r="A35" s="1" t="s">
        <v>17</v>
      </c>
      <c r="B35" s="2"/>
    </row>
    <row r="36" spans="1:7" x14ac:dyDescent="0.3">
      <c r="B36" s="2"/>
    </row>
    <row r="37" spans="1:7" x14ac:dyDescent="0.3">
      <c r="A37" s="1" t="s">
        <v>2</v>
      </c>
      <c r="B37" s="2"/>
    </row>
    <row r="38" spans="1:7" x14ac:dyDescent="0.3">
      <c r="A38" s="1" t="s">
        <v>21</v>
      </c>
      <c r="B38" s="2"/>
    </row>
    <row r="39" spans="1:7" x14ac:dyDescent="0.3">
      <c r="A39">
        <v>0</v>
      </c>
      <c r="B39" s="2"/>
    </row>
    <row r="40" spans="1:7" x14ac:dyDescent="0.3">
      <c r="A40">
        <v>1</v>
      </c>
      <c r="B40" s="2"/>
    </row>
    <row r="41" spans="1:7" x14ac:dyDescent="0.3">
      <c r="A41">
        <v>2</v>
      </c>
      <c r="B41" s="2"/>
    </row>
    <row r="42" spans="1:7" ht="15" thickBot="1" x14ac:dyDescent="0.35">
      <c r="A42">
        <v>3</v>
      </c>
      <c r="B42" s="3"/>
    </row>
    <row r="43" spans="1:7" x14ac:dyDescent="0.3">
      <c r="A43" s="4" t="str">
        <f>IF($B$43=1,C43,"")</f>
        <v/>
      </c>
      <c r="B43" s="357">
        <f>MODULO!O12</f>
        <v>0</v>
      </c>
      <c r="C43" s="5" t="s">
        <v>26</v>
      </c>
      <c r="D43" s="6"/>
      <c r="E43" s="7"/>
      <c r="G43" t="s">
        <v>241</v>
      </c>
    </row>
    <row r="44" spans="1:7" x14ac:dyDescent="0.3">
      <c r="A44" s="4" t="str">
        <f>IF($B$43&gt;0,C44,"")</f>
        <v/>
      </c>
      <c r="B44" s="358"/>
      <c r="C44" s="1" t="s">
        <v>28</v>
      </c>
      <c r="E44" s="8"/>
      <c r="G44" t="s">
        <v>242</v>
      </c>
    </row>
    <row r="45" spans="1:7" ht="15" thickBot="1" x14ac:dyDescent="0.35">
      <c r="A45" s="4" t="str">
        <f>IF($B$43&gt;0,C45,"")</f>
        <v/>
      </c>
      <c r="B45" s="359"/>
      <c r="C45" s="9" t="s">
        <v>30</v>
      </c>
      <c r="D45" s="10"/>
      <c r="E45" s="11"/>
      <c r="G45" t="s">
        <v>243</v>
      </c>
    </row>
    <row r="46" spans="1:7" x14ac:dyDescent="0.3">
      <c r="A46" s="12"/>
      <c r="B46" s="360"/>
      <c r="C46" s="5"/>
      <c r="D46" s="6"/>
      <c r="E46" s="7"/>
      <c r="G46" t="s">
        <v>244</v>
      </c>
    </row>
    <row r="47" spans="1:7" ht="15" thickBot="1" x14ac:dyDescent="0.35">
      <c r="A47" s="13"/>
      <c r="B47" s="361"/>
      <c r="C47" s="9"/>
      <c r="D47" s="10"/>
      <c r="E47" s="11"/>
    </row>
    <row r="48" spans="1:7" ht="15" x14ac:dyDescent="0.3">
      <c r="A48" t="s">
        <v>32</v>
      </c>
      <c r="B48" s="14" t="str">
        <f>IF(AND(MODULO!$O$32&gt;"0"),"SX",IF(AND(MODULO!$O$34&gt;"0"),"DX","NO TRASC"))</f>
        <v>NO TRASC</v>
      </c>
      <c r="C48">
        <f>MODULO!$O$32</f>
        <v>0</v>
      </c>
      <c r="D48" t="str">
        <f>IF(C48&gt;"0","SX","NO TRASC")</f>
        <v>NO TRASC</v>
      </c>
    </row>
    <row r="49" spans="2:4" x14ac:dyDescent="0.3">
      <c r="B49" s="3"/>
      <c r="C49">
        <f>MODULO!$O$34</f>
        <v>0</v>
      </c>
      <c r="D49" t="str">
        <f>IF(C49&gt;"0","DX","NO TRASC")</f>
        <v>NO TRASC</v>
      </c>
    </row>
  </sheetData>
  <sheetProtection algorithmName="SHA-512" hashValue="KWItkde+/2MqUTsaihvMls2Rrb1hOW36YeFOONFbhe1/vWmh6JQX1UX+kIUYQJD3sr932tNzEhRh7/o0GH6zTQ==" saltValue="97aQhh292YPvs12c7LkRqA==" spinCount="100000" sheet="1" objects="1" scenarios="1" selectLockedCells="1"/>
  <mergeCells count="77">
    <mergeCell ref="H17:J17"/>
    <mergeCell ref="H18:J18"/>
    <mergeCell ref="K18:M18"/>
    <mergeCell ref="K17:M17"/>
    <mergeCell ref="AW14:BE14"/>
    <mergeCell ref="AW15:BE15"/>
    <mergeCell ref="P17:V17"/>
    <mergeCell ref="W17:AE17"/>
    <mergeCell ref="AF17:AO17"/>
    <mergeCell ref="P15:V15"/>
    <mergeCell ref="P16:V16"/>
    <mergeCell ref="P14:V14"/>
    <mergeCell ref="BF14:BO14"/>
    <mergeCell ref="BF15:BO15"/>
    <mergeCell ref="B16:G16"/>
    <mergeCell ref="H16:O16"/>
    <mergeCell ref="AP14:AV14"/>
    <mergeCell ref="AP15:AV15"/>
    <mergeCell ref="B14:G14"/>
    <mergeCell ref="H14:O14"/>
    <mergeCell ref="B15:G15"/>
    <mergeCell ref="H15:O15"/>
    <mergeCell ref="W14:AE14"/>
    <mergeCell ref="AF14:AO14"/>
    <mergeCell ref="AF15:AO15"/>
    <mergeCell ref="AF16:AO16"/>
    <mergeCell ref="W16:AE16"/>
    <mergeCell ref="W15:AE15"/>
    <mergeCell ref="U1:X1"/>
    <mergeCell ref="U2:X2"/>
    <mergeCell ref="U3:X3"/>
    <mergeCell ref="B43:B45"/>
    <mergeCell ref="B46:B47"/>
    <mergeCell ref="A1:D1"/>
    <mergeCell ref="E1:H1"/>
    <mergeCell ref="I1:L1"/>
    <mergeCell ref="A3:D3"/>
    <mergeCell ref="E3:H3"/>
    <mergeCell ref="I3:L3"/>
    <mergeCell ref="A5:D5"/>
    <mergeCell ref="E5:H5"/>
    <mergeCell ref="I5:L5"/>
    <mergeCell ref="M1:P1"/>
    <mergeCell ref="Q1:T1"/>
    <mergeCell ref="A2:D2"/>
    <mergeCell ref="E2:H2"/>
    <mergeCell ref="I2:L2"/>
    <mergeCell ref="M2:P2"/>
    <mergeCell ref="Q2:T2"/>
    <mergeCell ref="M5:P5"/>
    <mergeCell ref="Q5:T5"/>
    <mergeCell ref="M3:P3"/>
    <mergeCell ref="Q3:T3"/>
    <mergeCell ref="A4:D4"/>
    <mergeCell ref="E4:H4"/>
    <mergeCell ref="I4:L4"/>
    <mergeCell ref="M4:P4"/>
    <mergeCell ref="Q4:T4"/>
    <mergeCell ref="A8:B8"/>
    <mergeCell ref="C8:D8"/>
    <mergeCell ref="E8:J8"/>
    <mergeCell ref="K8:P8"/>
    <mergeCell ref="Q10:V10"/>
    <mergeCell ref="Q9:V9"/>
    <mergeCell ref="A10:B10"/>
    <mergeCell ref="C10:D10"/>
    <mergeCell ref="E10:J10"/>
    <mergeCell ref="K10:P10"/>
    <mergeCell ref="A9:B9"/>
    <mergeCell ref="C9:D9"/>
    <mergeCell ref="E9:J9"/>
    <mergeCell ref="K9:P9"/>
    <mergeCell ref="A11:C11"/>
    <mergeCell ref="D11:F11"/>
    <mergeCell ref="A12:C12"/>
    <mergeCell ref="D12:F12"/>
    <mergeCell ref="A13:C1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3732-902F-4DFB-BEF7-5A9EF03E543B}">
  <sheetPr codeName="Foglio3">
    <pageSetUpPr fitToPage="1"/>
  </sheetPr>
  <dimension ref="A1:AO199"/>
  <sheetViews>
    <sheetView showGridLines="0" showRowColHeaders="0" view="pageBreakPreview" topLeftCell="A7" zoomScaleNormal="100" zoomScaleSheetLayoutView="100" workbookViewId="0">
      <selection activeCell="J7" sqref="J7"/>
    </sheetView>
  </sheetViews>
  <sheetFormatPr defaultRowHeight="14.4" x14ac:dyDescent="0.3"/>
  <cols>
    <col min="1" max="1" width="77.6640625" customWidth="1"/>
    <col min="2" max="2" width="11.6640625" customWidth="1"/>
    <col min="3" max="3" width="9.6640625" customWidth="1"/>
    <col min="5" max="5" width="12.44140625" bestFit="1" customWidth="1"/>
    <col min="6" max="6" width="11.33203125" bestFit="1" customWidth="1"/>
    <col min="7" max="7" width="6.44140625" customWidth="1"/>
    <col min="8" max="9" width="10" customWidth="1"/>
    <col min="10" max="10" width="11.5546875" customWidth="1"/>
    <col min="11" max="11" width="11.6640625" customWidth="1"/>
    <col min="12" max="12" width="14.88671875" customWidth="1"/>
    <col min="13" max="13" width="12.44140625" customWidth="1"/>
    <col min="14" max="14" width="9.6640625" bestFit="1" customWidth="1"/>
    <col min="15" max="15" width="36.6640625" customWidth="1"/>
    <col min="16" max="17" width="6.6640625" customWidth="1"/>
    <col min="18" max="18" width="36.6640625" customWidth="1"/>
    <col min="19" max="19" width="9.6640625" customWidth="1"/>
    <col min="20" max="20" width="9.109375" customWidth="1"/>
    <col min="21" max="21" width="30.44140625" customWidth="1"/>
    <col min="22" max="22" width="9.44140625" customWidth="1"/>
    <col min="259" max="259" width="77.6640625" customWidth="1"/>
    <col min="263" max="263" width="12.44140625" bestFit="1" customWidth="1"/>
    <col min="264" max="264" width="11.33203125" bestFit="1" customWidth="1"/>
    <col min="265" max="265" width="5" customWidth="1"/>
    <col min="266" max="269" width="10" customWidth="1"/>
    <col min="515" max="515" width="77.6640625" customWidth="1"/>
    <col min="519" max="519" width="12.44140625" bestFit="1" customWidth="1"/>
    <col min="520" max="520" width="11.33203125" bestFit="1" customWidth="1"/>
    <col min="521" max="521" width="5" customWidth="1"/>
    <col min="522" max="525" width="10" customWidth="1"/>
    <col min="771" max="771" width="77.6640625" customWidth="1"/>
    <col min="775" max="775" width="12.44140625" bestFit="1" customWidth="1"/>
    <col min="776" max="776" width="11.33203125" bestFit="1" customWidth="1"/>
    <col min="777" max="777" width="5" customWidth="1"/>
    <col min="778" max="781" width="10" customWidth="1"/>
    <col min="1027" max="1027" width="77.6640625" customWidth="1"/>
    <col min="1031" max="1031" width="12.44140625" bestFit="1" customWidth="1"/>
    <col min="1032" max="1032" width="11.33203125" bestFit="1" customWidth="1"/>
    <col min="1033" max="1033" width="5" customWidth="1"/>
    <col min="1034" max="1037" width="10" customWidth="1"/>
    <col min="1283" max="1283" width="77.6640625" customWidth="1"/>
    <col min="1287" max="1287" width="12.44140625" bestFit="1" customWidth="1"/>
    <col min="1288" max="1288" width="11.33203125" bestFit="1" customWidth="1"/>
    <col min="1289" max="1289" width="5" customWidth="1"/>
    <col min="1290" max="1293" width="10" customWidth="1"/>
    <col min="1539" max="1539" width="77.6640625" customWidth="1"/>
    <col min="1543" max="1543" width="12.44140625" bestFit="1" customWidth="1"/>
    <col min="1544" max="1544" width="11.33203125" bestFit="1" customWidth="1"/>
    <col min="1545" max="1545" width="5" customWidth="1"/>
    <col min="1546" max="1549" width="10" customWidth="1"/>
    <col min="1795" max="1795" width="77.6640625" customWidth="1"/>
    <col min="1799" max="1799" width="12.44140625" bestFit="1" customWidth="1"/>
    <col min="1800" max="1800" width="11.33203125" bestFit="1" customWidth="1"/>
    <col min="1801" max="1801" width="5" customWidth="1"/>
    <col min="1802" max="1805" width="10" customWidth="1"/>
    <col min="2051" max="2051" width="77.6640625" customWidth="1"/>
    <col min="2055" max="2055" width="12.44140625" bestFit="1" customWidth="1"/>
    <col min="2056" max="2056" width="11.33203125" bestFit="1" customWidth="1"/>
    <col min="2057" max="2057" width="5" customWidth="1"/>
    <col min="2058" max="2061" width="10" customWidth="1"/>
    <col min="2307" max="2307" width="77.6640625" customWidth="1"/>
    <col min="2311" max="2311" width="12.44140625" bestFit="1" customWidth="1"/>
    <col min="2312" max="2312" width="11.33203125" bestFit="1" customWidth="1"/>
    <col min="2313" max="2313" width="5" customWidth="1"/>
    <col min="2314" max="2317" width="10" customWidth="1"/>
    <col min="2563" max="2563" width="77.6640625" customWidth="1"/>
    <col min="2567" max="2567" width="12.44140625" bestFit="1" customWidth="1"/>
    <col min="2568" max="2568" width="11.33203125" bestFit="1" customWidth="1"/>
    <col min="2569" max="2569" width="5" customWidth="1"/>
    <col min="2570" max="2573" width="10" customWidth="1"/>
    <col min="2819" max="2819" width="77.6640625" customWidth="1"/>
    <col min="2823" max="2823" width="12.44140625" bestFit="1" customWidth="1"/>
    <col min="2824" max="2824" width="11.33203125" bestFit="1" customWidth="1"/>
    <col min="2825" max="2825" width="5" customWidth="1"/>
    <col min="2826" max="2829" width="10" customWidth="1"/>
    <col min="3075" max="3075" width="77.6640625" customWidth="1"/>
    <col min="3079" max="3079" width="12.44140625" bestFit="1" customWidth="1"/>
    <col min="3080" max="3080" width="11.33203125" bestFit="1" customWidth="1"/>
    <col min="3081" max="3081" width="5" customWidth="1"/>
    <col min="3082" max="3085" width="10" customWidth="1"/>
    <col min="3331" max="3331" width="77.6640625" customWidth="1"/>
    <col min="3335" max="3335" width="12.44140625" bestFit="1" customWidth="1"/>
    <col min="3336" max="3336" width="11.33203125" bestFit="1" customWidth="1"/>
    <col min="3337" max="3337" width="5" customWidth="1"/>
    <col min="3338" max="3341" width="10" customWidth="1"/>
    <col min="3587" max="3587" width="77.6640625" customWidth="1"/>
    <col min="3591" max="3591" width="12.44140625" bestFit="1" customWidth="1"/>
    <col min="3592" max="3592" width="11.33203125" bestFit="1" customWidth="1"/>
    <col min="3593" max="3593" width="5" customWidth="1"/>
    <col min="3594" max="3597" width="10" customWidth="1"/>
    <col min="3843" max="3843" width="77.6640625" customWidth="1"/>
    <col min="3847" max="3847" width="12.44140625" bestFit="1" customWidth="1"/>
    <col min="3848" max="3848" width="11.33203125" bestFit="1" customWidth="1"/>
    <col min="3849" max="3849" width="5" customWidth="1"/>
    <col min="3850" max="3853" width="10" customWidth="1"/>
    <col min="4099" max="4099" width="77.6640625" customWidth="1"/>
    <col min="4103" max="4103" width="12.44140625" bestFit="1" customWidth="1"/>
    <col min="4104" max="4104" width="11.33203125" bestFit="1" customWidth="1"/>
    <col min="4105" max="4105" width="5" customWidth="1"/>
    <col min="4106" max="4109" width="10" customWidth="1"/>
    <col min="4355" max="4355" width="77.6640625" customWidth="1"/>
    <col min="4359" max="4359" width="12.44140625" bestFit="1" customWidth="1"/>
    <col min="4360" max="4360" width="11.33203125" bestFit="1" customWidth="1"/>
    <col min="4361" max="4361" width="5" customWidth="1"/>
    <col min="4362" max="4365" width="10" customWidth="1"/>
    <col min="4611" max="4611" width="77.6640625" customWidth="1"/>
    <col min="4615" max="4615" width="12.44140625" bestFit="1" customWidth="1"/>
    <col min="4616" max="4616" width="11.33203125" bestFit="1" customWidth="1"/>
    <col min="4617" max="4617" width="5" customWidth="1"/>
    <col min="4618" max="4621" width="10" customWidth="1"/>
    <col min="4867" max="4867" width="77.6640625" customWidth="1"/>
    <col min="4871" max="4871" width="12.44140625" bestFit="1" customWidth="1"/>
    <col min="4872" max="4872" width="11.33203125" bestFit="1" customWidth="1"/>
    <col min="4873" max="4873" width="5" customWidth="1"/>
    <col min="4874" max="4877" width="10" customWidth="1"/>
    <col min="5123" max="5123" width="77.6640625" customWidth="1"/>
    <col min="5127" max="5127" width="12.44140625" bestFit="1" customWidth="1"/>
    <col min="5128" max="5128" width="11.33203125" bestFit="1" customWidth="1"/>
    <col min="5129" max="5129" width="5" customWidth="1"/>
    <col min="5130" max="5133" width="10" customWidth="1"/>
    <col min="5379" max="5379" width="77.6640625" customWidth="1"/>
    <col min="5383" max="5383" width="12.44140625" bestFit="1" customWidth="1"/>
    <col min="5384" max="5384" width="11.33203125" bestFit="1" customWidth="1"/>
    <col min="5385" max="5385" width="5" customWidth="1"/>
    <col min="5386" max="5389" width="10" customWidth="1"/>
    <col min="5635" max="5635" width="77.6640625" customWidth="1"/>
    <col min="5639" max="5639" width="12.44140625" bestFit="1" customWidth="1"/>
    <col min="5640" max="5640" width="11.33203125" bestFit="1" customWidth="1"/>
    <col min="5641" max="5641" width="5" customWidth="1"/>
    <col min="5642" max="5645" width="10" customWidth="1"/>
    <col min="5891" max="5891" width="77.6640625" customWidth="1"/>
    <col min="5895" max="5895" width="12.44140625" bestFit="1" customWidth="1"/>
    <col min="5896" max="5896" width="11.33203125" bestFit="1" customWidth="1"/>
    <col min="5897" max="5897" width="5" customWidth="1"/>
    <col min="5898" max="5901" width="10" customWidth="1"/>
    <col min="6147" max="6147" width="77.6640625" customWidth="1"/>
    <col min="6151" max="6151" width="12.44140625" bestFit="1" customWidth="1"/>
    <col min="6152" max="6152" width="11.33203125" bestFit="1" customWidth="1"/>
    <col min="6153" max="6153" width="5" customWidth="1"/>
    <col min="6154" max="6157" width="10" customWidth="1"/>
    <col min="6403" max="6403" width="77.6640625" customWidth="1"/>
    <col min="6407" max="6407" width="12.44140625" bestFit="1" customWidth="1"/>
    <col min="6408" max="6408" width="11.33203125" bestFit="1" customWidth="1"/>
    <col min="6409" max="6409" width="5" customWidth="1"/>
    <col min="6410" max="6413" width="10" customWidth="1"/>
    <col min="6659" max="6659" width="77.6640625" customWidth="1"/>
    <col min="6663" max="6663" width="12.44140625" bestFit="1" customWidth="1"/>
    <col min="6664" max="6664" width="11.33203125" bestFit="1" customWidth="1"/>
    <col min="6665" max="6665" width="5" customWidth="1"/>
    <col min="6666" max="6669" width="10" customWidth="1"/>
    <col min="6915" max="6915" width="77.6640625" customWidth="1"/>
    <col min="6919" max="6919" width="12.44140625" bestFit="1" customWidth="1"/>
    <col min="6920" max="6920" width="11.33203125" bestFit="1" customWidth="1"/>
    <col min="6921" max="6921" width="5" customWidth="1"/>
    <col min="6922" max="6925" width="10" customWidth="1"/>
    <col min="7171" max="7171" width="77.6640625" customWidth="1"/>
    <col min="7175" max="7175" width="12.44140625" bestFit="1" customWidth="1"/>
    <col min="7176" max="7176" width="11.33203125" bestFit="1" customWidth="1"/>
    <col min="7177" max="7177" width="5" customWidth="1"/>
    <col min="7178" max="7181" width="10" customWidth="1"/>
    <col min="7427" max="7427" width="77.6640625" customWidth="1"/>
    <col min="7431" max="7431" width="12.44140625" bestFit="1" customWidth="1"/>
    <col min="7432" max="7432" width="11.33203125" bestFit="1" customWidth="1"/>
    <col min="7433" max="7433" width="5" customWidth="1"/>
    <col min="7434" max="7437" width="10" customWidth="1"/>
    <col min="7683" max="7683" width="77.6640625" customWidth="1"/>
    <col min="7687" max="7687" width="12.44140625" bestFit="1" customWidth="1"/>
    <col min="7688" max="7688" width="11.33203125" bestFit="1" customWidth="1"/>
    <col min="7689" max="7689" width="5" customWidth="1"/>
    <col min="7690" max="7693" width="10" customWidth="1"/>
    <col min="7939" max="7939" width="77.6640625" customWidth="1"/>
    <col min="7943" max="7943" width="12.44140625" bestFit="1" customWidth="1"/>
    <col min="7944" max="7944" width="11.33203125" bestFit="1" customWidth="1"/>
    <col min="7945" max="7945" width="5" customWidth="1"/>
    <col min="7946" max="7949" width="10" customWidth="1"/>
    <col min="8195" max="8195" width="77.6640625" customWidth="1"/>
    <col min="8199" max="8199" width="12.44140625" bestFit="1" customWidth="1"/>
    <col min="8200" max="8200" width="11.33203125" bestFit="1" customWidth="1"/>
    <col min="8201" max="8201" width="5" customWidth="1"/>
    <col min="8202" max="8205" width="10" customWidth="1"/>
    <col min="8451" max="8451" width="77.6640625" customWidth="1"/>
    <col min="8455" max="8455" width="12.44140625" bestFit="1" customWidth="1"/>
    <col min="8456" max="8456" width="11.33203125" bestFit="1" customWidth="1"/>
    <col min="8457" max="8457" width="5" customWidth="1"/>
    <col min="8458" max="8461" width="10" customWidth="1"/>
    <col min="8707" max="8707" width="77.6640625" customWidth="1"/>
    <col min="8711" max="8711" width="12.44140625" bestFit="1" customWidth="1"/>
    <col min="8712" max="8712" width="11.33203125" bestFit="1" customWidth="1"/>
    <col min="8713" max="8713" width="5" customWidth="1"/>
    <col min="8714" max="8717" width="10" customWidth="1"/>
    <col min="8963" max="8963" width="77.6640625" customWidth="1"/>
    <col min="8967" max="8967" width="12.44140625" bestFit="1" customWidth="1"/>
    <col min="8968" max="8968" width="11.33203125" bestFit="1" customWidth="1"/>
    <col min="8969" max="8969" width="5" customWidth="1"/>
    <col min="8970" max="8973" width="10" customWidth="1"/>
    <col min="9219" max="9219" width="77.6640625" customWidth="1"/>
    <col min="9223" max="9223" width="12.44140625" bestFit="1" customWidth="1"/>
    <col min="9224" max="9224" width="11.33203125" bestFit="1" customWidth="1"/>
    <col min="9225" max="9225" width="5" customWidth="1"/>
    <col min="9226" max="9229" width="10" customWidth="1"/>
    <col min="9475" max="9475" width="77.6640625" customWidth="1"/>
    <col min="9479" max="9479" width="12.44140625" bestFit="1" customWidth="1"/>
    <col min="9480" max="9480" width="11.33203125" bestFit="1" customWidth="1"/>
    <col min="9481" max="9481" width="5" customWidth="1"/>
    <col min="9482" max="9485" width="10" customWidth="1"/>
    <col min="9731" max="9731" width="77.6640625" customWidth="1"/>
    <col min="9735" max="9735" width="12.44140625" bestFit="1" customWidth="1"/>
    <col min="9736" max="9736" width="11.33203125" bestFit="1" customWidth="1"/>
    <col min="9737" max="9737" width="5" customWidth="1"/>
    <col min="9738" max="9741" width="10" customWidth="1"/>
    <col min="9987" max="9987" width="77.6640625" customWidth="1"/>
    <col min="9991" max="9991" width="12.44140625" bestFit="1" customWidth="1"/>
    <col min="9992" max="9992" width="11.33203125" bestFit="1" customWidth="1"/>
    <col min="9993" max="9993" width="5" customWidth="1"/>
    <col min="9994" max="9997" width="10" customWidth="1"/>
    <col min="10243" max="10243" width="77.6640625" customWidth="1"/>
    <col min="10247" max="10247" width="12.44140625" bestFit="1" customWidth="1"/>
    <col min="10248" max="10248" width="11.33203125" bestFit="1" customWidth="1"/>
    <col min="10249" max="10249" width="5" customWidth="1"/>
    <col min="10250" max="10253" width="10" customWidth="1"/>
    <col min="10499" max="10499" width="77.6640625" customWidth="1"/>
    <col min="10503" max="10503" width="12.44140625" bestFit="1" customWidth="1"/>
    <col min="10504" max="10504" width="11.33203125" bestFit="1" customWidth="1"/>
    <col min="10505" max="10505" width="5" customWidth="1"/>
    <col min="10506" max="10509" width="10" customWidth="1"/>
    <col min="10755" max="10755" width="77.6640625" customWidth="1"/>
    <col min="10759" max="10759" width="12.44140625" bestFit="1" customWidth="1"/>
    <col min="10760" max="10760" width="11.33203125" bestFit="1" customWidth="1"/>
    <col min="10761" max="10761" width="5" customWidth="1"/>
    <col min="10762" max="10765" width="10" customWidth="1"/>
    <col min="11011" max="11011" width="77.6640625" customWidth="1"/>
    <col min="11015" max="11015" width="12.44140625" bestFit="1" customWidth="1"/>
    <col min="11016" max="11016" width="11.33203125" bestFit="1" customWidth="1"/>
    <col min="11017" max="11017" width="5" customWidth="1"/>
    <col min="11018" max="11021" width="10" customWidth="1"/>
    <col min="11267" max="11267" width="77.6640625" customWidth="1"/>
    <col min="11271" max="11271" width="12.44140625" bestFit="1" customWidth="1"/>
    <col min="11272" max="11272" width="11.33203125" bestFit="1" customWidth="1"/>
    <col min="11273" max="11273" width="5" customWidth="1"/>
    <col min="11274" max="11277" width="10" customWidth="1"/>
    <col min="11523" max="11523" width="77.6640625" customWidth="1"/>
    <col min="11527" max="11527" width="12.44140625" bestFit="1" customWidth="1"/>
    <col min="11528" max="11528" width="11.33203125" bestFit="1" customWidth="1"/>
    <col min="11529" max="11529" width="5" customWidth="1"/>
    <col min="11530" max="11533" width="10" customWidth="1"/>
    <col min="11779" max="11779" width="77.6640625" customWidth="1"/>
    <col min="11783" max="11783" width="12.44140625" bestFit="1" customWidth="1"/>
    <col min="11784" max="11784" width="11.33203125" bestFit="1" customWidth="1"/>
    <col min="11785" max="11785" width="5" customWidth="1"/>
    <col min="11786" max="11789" width="10" customWidth="1"/>
    <col min="12035" max="12035" width="77.6640625" customWidth="1"/>
    <col min="12039" max="12039" width="12.44140625" bestFit="1" customWidth="1"/>
    <col min="12040" max="12040" width="11.33203125" bestFit="1" customWidth="1"/>
    <col min="12041" max="12041" width="5" customWidth="1"/>
    <col min="12042" max="12045" width="10" customWidth="1"/>
    <col min="12291" max="12291" width="77.6640625" customWidth="1"/>
    <col min="12295" max="12295" width="12.44140625" bestFit="1" customWidth="1"/>
    <col min="12296" max="12296" width="11.33203125" bestFit="1" customWidth="1"/>
    <col min="12297" max="12297" width="5" customWidth="1"/>
    <col min="12298" max="12301" width="10" customWidth="1"/>
    <col min="12547" max="12547" width="77.6640625" customWidth="1"/>
    <col min="12551" max="12551" width="12.44140625" bestFit="1" customWidth="1"/>
    <col min="12552" max="12552" width="11.33203125" bestFit="1" customWidth="1"/>
    <col min="12553" max="12553" width="5" customWidth="1"/>
    <col min="12554" max="12557" width="10" customWidth="1"/>
    <col min="12803" max="12803" width="77.6640625" customWidth="1"/>
    <col min="12807" max="12807" width="12.44140625" bestFit="1" customWidth="1"/>
    <col min="12808" max="12808" width="11.33203125" bestFit="1" customWidth="1"/>
    <col min="12809" max="12809" width="5" customWidth="1"/>
    <col min="12810" max="12813" width="10" customWidth="1"/>
    <col min="13059" max="13059" width="77.6640625" customWidth="1"/>
    <col min="13063" max="13063" width="12.44140625" bestFit="1" customWidth="1"/>
    <col min="13064" max="13064" width="11.33203125" bestFit="1" customWidth="1"/>
    <col min="13065" max="13065" width="5" customWidth="1"/>
    <col min="13066" max="13069" width="10" customWidth="1"/>
    <col min="13315" max="13315" width="77.6640625" customWidth="1"/>
    <col min="13319" max="13319" width="12.44140625" bestFit="1" customWidth="1"/>
    <col min="13320" max="13320" width="11.33203125" bestFit="1" customWidth="1"/>
    <col min="13321" max="13321" width="5" customWidth="1"/>
    <col min="13322" max="13325" width="10" customWidth="1"/>
    <col min="13571" max="13571" width="77.6640625" customWidth="1"/>
    <col min="13575" max="13575" width="12.44140625" bestFit="1" customWidth="1"/>
    <col min="13576" max="13576" width="11.33203125" bestFit="1" customWidth="1"/>
    <col min="13577" max="13577" width="5" customWidth="1"/>
    <col min="13578" max="13581" width="10" customWidth="1"/>
    <col min="13827" max="13827" width="77.6640625" customWidth="1"/>
    <col min="13831" max="13831" width="12.44140625" bestFit="1" customWidth="1"/>
    <col min="13832" max="13832" width="11.33203125" bestFit="1" customWidth="1"/>
    <col min="13833" max="13833" width="5" customWidth="1"/>
    <col min="13834" max="13837" width="10" customWidth="1"/>
    <col min="14083" max="14083" width="77.6640625" customWidth="1"/>
    <col min="14087" max="14087" width="12.44140625" bestFit="1" customWidth="1"/>
    <col min="14088" max="14088" width="11.33203125" bestFit="1" customWidth="1"/>
    <col min="14089" max="14089" width="5" customWidth="1"/>
    <col min="14090" max="14093" width="10" customWidth="1"/>
    <col min="14339" max="14339" width="77.6640625" customWidth="1"/>
    <col min="14343" max="14343" width="12.44140625" bestFit="1" customWidth="1"/>
    <col min="14344" max="14344" width="11.33203125" bestFit="1" customWidth="1"/>
    <col min="14345" max="14345" width="5" customWidth="1"/>
    <col min="14346" max="14349" width="10" customWidth="1"/>
    <col min="14595" max="14595" width="77.6640625" customWidth="1"/>
    <col min="14599" max="14599" width="12.44140625" bestFit="1" customWidth="1"/>
    <col min="14600" max="14600" width="11.33203125" bestFit="1" customWidth="1"/>
    <col min="14601" max="14601" width="5" customWidth="1"/>
    <col min="14602" max="14605" width="10" customWidth="1"/>
    <col min="14851" max="14851" width="77.6640625" customWidth="1"/>
    <col min="14855" max="14855" width="12.44140625" bestFit="1" customWidth="1"/>
    <col min="14856" max="14856" width="11.33203125" bestFit="1" customWidth="1"/>
    <col min="14857" max="14857" width="5" customWidth="1"/>
    <col min="14858" max="14861" width="10" customWidth="1"/>
    <col min="15107" max="15107" width="77.6640625" customWidth="1"/>
    <col min="15111" max="15111" width="12.44140625" bestFit="1" customWidth="1"/>
    <col min="15112" max="15112" width="11.33203125" bestFit="1" customWidth="1"/>
    <col min="15113" max="15113" width="5" customWidth="1"/>
    <col min="15114" max="15117" width="10" customWidth="1"/>
    <col min="15363" max="15363" width="77.6640625" customWidth="1"/>
    <col min="15367" max="15367" width="12.44140625" bestFit="1" customWidth="1"/>
    <col min="15368" max="15368" width="11.33203125" bestFit="1" customWidth="1"/>
    <col min="15369" max="15369" width="5" customWidth="1"/>
    <col min="15370" max="15373" width="10" customWidth="1"/>
    <col min="15619" max="15619" width="77.6640625" customWidth="1"/>
    <col min="15623" max="15623" width="12.44140625" bestFit="1" customWidth="1"/>
    <col min="15624" max="15624" width="11.33203125" bestFit="1" customWidth="1"/>
    <col min="15625" max="15625" width="5" customWidth="1"/>
    <col min="15626" max="15629" width="10" customWidth="1"/>
    <col min="15875" max="15875" width="77.6640625" customWidth="1"/>
    <col min="15879" max="15879" width="12.44140625" bestFit="1" customWidth="1"/>
    <col min="15880" max="15880" width="11.33203125" bestFit="1" customWidth="1"/>
    <col min="15881" max="15881" width="5" customWidth="1"/>
    <col min="15882" max="15885" width="10" customWidth="1"/>
    <col min="16131" max="16131" width="77.6640625" customWidth="1"/>
    <col min="16135" max="16135" width="12.44140625" bestFit="1" customWidth="1"/>
    <col min="16136" max="16136" width="11.33203125" bestFit="1" customWidth="1"/>
    <col min="16137" max="16137" width="5" customWidth="1"/>
    <col min="16138" max="16141" width="10" customWidth="1"/>
  </cols>
  <sheetData>
    <row r="1" spans="1:41" s="25" customFormat="1" ht="20.399999999999999" x14ac:dyDescent="0.35"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41" s="25" customFormat="1" ht="12.9" customHeight="1" x14ac:dyDescent="0.3"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41" s="25" customFormat="1" ht="15" customHeight="1" x14ac:dyDescent="0.3">
      <c r="B3" s="411"/>
      <c r="C3" s="411"/>
      <c r="D3" s="411"/>
      <c r="E3" s="411"/>
      <c r="F3" s="411"/>
      <c r="G3" s="411"/>
      <c r="H3" s="411"/>
      <c r="I3" s="411"/>
      <c r="J3" s="411"/>
      <c r="K3" s="411"/>
    </row>
    <row r="4" spans="1:41" s="25" customFormat="1" x14ac:dyDescent="0.3"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41" s="25" customFormat="1" x14ac:dyDescent="0.3">
      <c r="B5" s="25" t="s">
        <v>238</v>
      </c>
    </row>
    <row r="6" spans="1:41" s="25" customFormat="1" x14ac:dyDescent="0.3"/>
    <row r="7" spans="1:41" ht="15.75" customHeight="1" x14ac:dyDescent="0.3">
      <c r="A7" s="25"/>
      <c r="B7" s="414" t="s">
        <v>66</v>
      </c>
      <c r="C7" s="415"/>
      <c r="D7" s="409">
        <f>MODULO!$O$6</f>
        <v>0</v>
      </c>
      <c r="E7" s="409"/>
      <c r="F7" s="409"/>
      <c r="G7" s="409"/>
      <c r="H7" s="409"/>
      <c r="I7" s="41" t="s">
        <v>111</v>
      </c>
      <c r="J7" s="232"/>
      <c r="K7" s="39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7"/>
      <c r="AA7" s="27"/>
      <c r="AB7" s="27"/>
      <c r="AC7" s="28"/>
      <c r="AD7" s="28"/>
      <c r="AE7" s="28"/>
      <c r="AF7" s="28"/>
      <c r="AG7" s="28"/>
      <c r="AH7" s="28"/>
      <c r="AI7" s="28"/>
      <c r="AJ7" s="29"/>
      <c r="AK7" s="29"/>
      <c r="AL7" s="29"/>
      <c r="AM7" s="29"/>
      <c r="AN7" s="29"/>
    </row>
    <row r="8" spans="1:41" ht="15.75" customHeight="1" x14ac:dyDescent="0.3">
      <c r="A8" s="25"/>
      <c r="B8" s="429" t="s">
        <v>41</v>
      </c>
      <c r="C8" s="423"/>
      <c r="D8" s="423">
        <f>MODULO!O8</f>
        <v>0</v>
      </c>
      <c r="E8" s="423"/>
      <c r="F8" s="423"/>
      <c r="G8" s="423"/>
      <c r="H8" s="423"/>
      <c r="I8" s="423"/>
      <c r="J8" s="424"/>
      <c r="K8" s="1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41" ht="15.75" customHeight="1" x14ac:dyDescent="0.3">
      <c r="A9" s="25"/>
      <c r="B9" s="363">
        <f>MODULO!O5</f>
        <v>0</v>
      </c>
      <c r="C9" s="364"/>
      <c r="D9" s="364"/>
      <c r="E9" s="364"/>
      <c r="F9" s="364"/>
      <c r="G9" s="42" t="s">
        <v>67</v>
      </c>
      <c r="H9" s="425">
        <f>MODULO!AS8</f>
        <v>0</v>
      </c>
      <c r="I9" s="425"/>
      <c r="J9" s="426"/>
      <c r="K9" s="39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  <c r="AA9" s="27"/>
      <c r="AB9" s="27"/>
      <c r="AC9" s="28"/>
      <c r="AD9" s="28"/>
      <c r="AE9" s="28"/>
      <c r="AF9" s="27"/>
      <c r="AG9" s="27"/>
      <c r="AH9" s="27"/>
      <c r="AI9" s="27"/>
      <c r="AJ9" s="27"/>
      <c r="AK9" s="27"/>
      <c r="AL9" s="27"/>
      <c r="AM9" s="27"/>
      <c r="AN9" s="27"/>
    </row>
    <row r="10" spans="1:41" ht="15.75" customHeight="1" x14ac:dyDescent="0.3">
      <c r="A10" s="25"/>
      <c r="B10" s="447" t="s">
        <v>8</v>
      </c>
      <c r="C10" s="449" t="str">
        <f>IF(MODULO!$BF$30&lt;&gt;"",MODULO!$BF$30,"")</f>
        <v/>
      </c>
      <c r="D10" s="449"/>
      <c r="E10" s="449"/>
      <c r="F10" s="449"/>
      <c r="G10" s="449"/>
      <c r="H10" s="449"/>
      <c r="I10" s="449"/>
      <c r="J10" s="45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41" s="30" customFormat="1" ht="15.75" customHeight="1" x14ac:dyDescent="0.3">
      <c r="A11" s="25"/>
      <c r="B11" s="448"/>
      <c r="C11" s="449"/>
      <c r="D11" s="449"/>
      <c r="E11" s="449"/>
      <c r="F11" s="449"/>
      <c r="G11" s="449"/>
      <c r="H11" s="449"/>
      <c r="I11" s="449"/>
      <c r="J11" s="450"/>
      <c r="K11" s="4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s="30" customFormat="1" ht="15.75" customHeight="1" x14ac:dyDescent="0.3">
      <c r="A12" s="25"/>
      <c r="B12" s="43" t="s">
        <v>44</v>
      </c>
      <c r="C12" s="44">
        <f>MODULO!O14</f>
        <v>0</v>
      </c>
      <c r="D12" s="45" t="s">
        <v>117</v>
      </c>
      <c r="E12" s="46" t="str">
        <f>IF(MODULO!O12=1,"A 1 VIA",IF(MODULO!O12=2,"A 2 VIE",""))</f>
        <v/>
      </c>
      <c r="F12" s="412" t="s">
        <v>224</v>
      </c>
      <c r="G12" s="412"/>
      <c r="H12" s="47" t="str">
        <f>IF(MODULO!$BO$19&lt;&gt;"",MODULO!$BO$19,IF(AND(MODULO!$O$12=2),MODULO!$Y$38-2,MODULO!$BO$10))</f>
        <v/>
      </c>
      <c r="I12" s="445" t="s">
        <v>233</v>
      </c>
      <c r="J12" s="446"/>
      <c r="K12" s="33"/>
      <c r="L12" s="25"/>
      <c r="M12" s="25"/>
      <c r="N12" s="25"/>
      <c r="O12" s="25"/>
      <c r="P12" s="25"/>
      <c r="Q12" s="25"/>
      <c r="R12" s="25"/>
      <c r="S12" s="25"/>
      <c r="T12" s="25"/>
      <c r="U12" s="170"/>
      <c r="V12" s="170"/>
      <c r="W12" s="171"/>
      <c r="X12" s="25"/>
      <c r="Y12" s="25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s="30" customFormat="1" ht="15.75" customHeight="1" x14ac:dyDescent="0.3">
      <c r="A13" s="25"/>
      <c r="B13" s="427" t="s">
        <v>122</v>
      </c>
      <c r="C13" s="428"/>
      <c r="D13" s="431" t="str">
        <f>MODULO!$AK$10</f>
        <v/>
      </c>
      <c r="E13" s="431"/>
      <c r="F13" s="431"/>
      <c r="G13" s="431"/>
      <c r="H13" s="49"/>
      <c r="I13" s="445"/>
      <c r="J13" s="446"/>
      <c r="K13" s="33"/>
      <c r="L13" s="25"/>
      <c r="M13" s="25"/>
      <c r="N13" s="25"/>
      <c r="O13" s="25"/>
      <c r="P13" s="25"/>
      <c r="Q13" s="25"/>
      <c r="R13" s="25"/>
      <c r="S13" s="25"/>
      <c r="T13" s="25"/>
      <c r="U13" s="170"/>
      <c r="V13" s="170"/>
      <c r="W13" s="171"/>
      <c r="X13" s="25"/>
      <c r="Y13" s="25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30" customFormat="1" ht="5.0999999999999996" customHeight="1" x14ac:dyDescent="0.3">
      <c r="A14" s="25"/>
      <c r="B14" s="50"/>
      <c r="C14" s="51"/>
      <c r="D14" s="52"/>
      <c r="E14" s="52"/>
      <c r="F14" s="52"/>
      <c r="G14" s="52"/>
      <c r="H14" s="48"/>
      <c r="I14" s="365">
        <f>MODULO!BS5</f>
        <v>0</v>
      </c>
      <c r="J14" s="366"/>
      <c r="K14" s="33"/>
      <c r="L14" s="25"/>
      <c r="M14" s="25"/>
      <c r="N14" s="25"/>
      <c r="O14" s="25"/>
      <c r="P14" s="25"/>
      <c r="Q14" s="25"/>
      <c r="R14" s="25"/>
      <c r="S14" s="25"/>
      <c r="T14" s="25"/>
      <c r="U14" s="170"/>
      <c r="V14" s="170"/>
      <c r="W14" s="172"/>
      <c r="X14" s="25"/>
      <c r="Y14" s="2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s="30" customFormat="1" ht="15.75" customHeight="1" x14ac:dyDescent="0.3">
      <c r="A15" s="25"/>
      <c r="B15" s="455" t="s">
        <v>119</v>
      </c>
      <c r="C15" s="412"/>
      <c r="D15" s="44">
        <f>MODULO!$O$24</f>
        <v>0</v>
      </c>
      <c r="E15" s="432" t="s">
        <v>118</v>
      </c>
      <c r="F15" s="432"/>
      <c r="G15" s="44">
        <f>MODULO!$O$22-MODULO!$O$24</f>
        <v>0</v>
      </c>
      <c r="H15" s="53"/>
      <c r="I15" s="365"/>
      <c r="J15" s="366"/>
      <c r="K15" s="33"/>
      <c r="L15" s="25"/>
      <c r="M15" s="25"/>
      <c r="N15" s="25"/>
      <c r="O15" s="25"/>
      <c r="P15" s="25"/>
      <c r="Q15" s="25"/>
      <c r="R15" s="25"/>
      <c r="S15" s="25"/>
      <c r="T15" s="25"/>
      <c r="U15" s="170"/>
      <c r="V15" s="170"/>
      <c r="W15" s="171"/>
      <c r="X15" s="25"/>
      <c r="Y15" s="2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s="30" customFormat="1" ht="15.75" customHeight="1" x14ac:dyDescent="0.3">
      <c r="A16" s="25"/>
      <c r="B16" s="427" t="s">
        <v>123</v>
      </c>
      <c r="C16" s="428"/>
      <c r="D16" s="458">
        <f>MODULO!$O$10</f>
        <v>0</v>
      </c>
      <c r="E16" s="431"/>
      <c r="F16" s="431"/>
      <c r="G16" s="431"/>
      <c r="H16" s="49"/>
      <c r="I16" s="365"/>
      <c r="J16" s="366"/>
      <c r="K16" s="33"/>
      <c r="L16" s="25"/>
      <c r="M16" s="25"/>
      <c r="N16" s="25"/>
      <c r="O16" s="25"/>
      <c r="P16" s="25"/>
      <c r="Q16" s="25"/>
      <c r="R16" s="25"/>
      <c r="S16" s="25"/>
      <c r="T16" s="25"/>
      <c r="U16" s="170"/>
      <c r="V16" s="170"/>
      <c r="W16" s="171"/>
      <c r="X16" s="25"/>
      <c r="Y16" s="25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s="30" customFormat="1" ht="15.75" customHeight="1" x14ac:dyDescent="0.3">
      <c r="A17" s="25"/>
      <c r="B17" s="369"/>
      <c r="C17" s="421"/>
      <c r="D17" s="421"/>
      <c r="E17" s="421"/>
      <c r="F17" s="421"/>
      <c r="G17" s="421"/>
      <c r="H17" s="421"/>
      <c r="I17" s="421"/>
      <c r="J17" s="422"/>
      <c r="K17" s="33"/>
      <c r="L17" s="25"/>
      <c r="M17" s="25"/>
      <c r="N17" s="25"/>
      <c r="O17" s="25"/>
      <c r="P17" s="25"/>
      <c r="Q17" s="25"/>
      <c r="R17" s="25"/>
      <c r="S17" s="25"/>
      <c r="T17" s="25"/>
      <c r="U17" s="170"/>
      <c r="V17" s="170"/>
      <c r="W17" s="171"/>
      <c r="X17" s="25"/>
      <c r="Y17" s="25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30" customFormat="1" ht="15.75" customHeight="1" x14ac:dyDescent="0.3">
      <c r="A18" s="25"/>
      <c r="B18" s="369"/>
      <c r="C18" s="421"/>
      <c r="D18" s="421"/>
      <c r="E18" s="421"/>
      <c r="F18" s="421"/>
      <c r="G18" s="421"/>
      <c r="H18" s="421"/>
      <c r="I18" s="421"/>
      <c r="J18" s="422"/>
      <c r="K18" s="33"/>
      <c r="L18" s="25"/>
      <c r="M18" s="25"/>
      <c r="N18" s="25"/>
      <c r="O18" s="25"/>
      <c r="P18" s="25"/>
      <c r="Q18" s="25"/>
      <c r="R18" s="25"/>
      <c r="S18" s="25"/>
      <c r="T18" s="25"/>
      <c r="U18" s="170"/>
      <c r="V18" s="170"/>
      <c r="W18" s="172"/>
      <c r="X18" s="25"/>
      <c r="Y18" s="25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s="30" customFormat="1" ht="15.75" customHeight="1" x14ac:dyDescent="0.3">
      <c r="A19" s="25"/>
      <c r="B19" s="369"/>
      <c r="C19" s="421"/>
      <c r="D19" s="421"/>
      <c r="E19" s="421"/>
      <c r="F19" s="421"/>
      <c r="G19" s="421"/>
      <c r="H19" s="421"/>
      <c r="I19" s="421"/>
      <c r="J19" s="422"/>
      <c r="K19" s="33"/>
      <c r="L19" s="25"/>
      <c r="M19" s="25"/>
      <c r="N19" s="25"/>
      <c r="O19" s="25"/>
      <c r="P19" s="25"/>
      <c r="Q19" s="25"/>
      <c r="R19" s="25"/>
      <c r="S19" s="25"/>
      <c r="T19" s="25"/>
      <c r="U19" s="170"/>
      <c r="V19" s="170"/>
      <c r="W19" s="171"/>
      <c r="X19" s="25"/>
      <c r="Y19" s="25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s="30" customFormat="1" ht="15.75" customHeight="1" x14ac:dyDescent="0.3">
      <c r="A20" s="25"/>
      <c r="B20" s="369"/>
      <c r="C20" s="421"/>
      <c r="D20" s="421"/>
      <c r="E20" s="421"/>
      <c r="F20" s="421"/>
      <c r="G20" s="421"/>
      <c r="H20" s="421"/>
      <c r="I20" s="421"/>
      <c r="J20" s="422"/>
      <c r="K20" s="33"/>
      <c r="L20" s="25"/>
      <c r="M20" s="25"/>
      <c r="N20" s="25"/>
      <c r="O20" s="25"/>
      <c r="P20" s="25"/>
      <c r="Q20" s="25"/>
      <c r="R20" s="25"/>
      <c r="S20" s="25"/>
      <c r="T20" s="25"/>
      <c r="U20" s="170"/>
      <c r="V20" s="170"/>
      <c r="W20" s="171"/>
      <c r="X20" s="25"/>
      <c r="Y20" s="25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s="30" customFormat="1" ht="15.75" customHeight="1" x14ac:dyDescent="0.3">
      <c r="A21" s="25"/>
      <c r="B21" s="369"/>
      <c r="C21" s="421"/>
      <c r="D21" s="421"/>
      <c r="E21" s="421"/>
      <c r="F21" s="421"/>
      <c r="G21" s="421"/>
      <c r="H21" s="421"/>
      <c r="I21" s="421"/>
      <c r="J21" s="422"/>
      <c r="K21" s="33"/>
      <c r="L21" s="25"/>
      <c r="M21" s="25"/>
      <c r="N21" s="25"/>
      <c r="O21" s="25"/>
      <c r="P21" s="25"/>
      <c r="Q21" s="25"/>
      <c r="R21" s="25"/>
      <c r="S21" s="25"/>
      <c r="T21" s="25"/>
      <c r="U21" s="170"/>
      <c r="V21" s="170"/>
      <c r="W21" s="171"/>
      <c r="X21" s="25"/>
      <c r="Y21" s="2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s="30" customFormat="1" ht="15.75" customHeight="1" thickBot="1" x14ac:dyDescent="0.35">
      <c r="A22" s="25"/>
      <c r="B22" s="369"/>
      <c r="C22" s="421"/>
      <c r="D22" s="421"/>
      <c r="E22" s="421"/>
      <c r="F22" s="421"/>
      <c r="G22" s="421"/>
      <c r="H22" s="421"/>
      <c r="I22" s="421"/>
      <c r="J22" s="422"/>
      <c r="K22" s="33"/>
      <c r="L22" s="25"/>
      <c r="M22" s="25"/>
      <c r="N22" s="25"/>
      <c r="O22" s="25"/>
      <c r="P22" s="25"/>
      <c r="Q22" s="25"/>
      <c r="R22" s="25"/>
      <c r="S22" s="25"/>
      <c r="T22" s="25"/>
      <c r="U22" s="170"/>
      <c r="V22" s="170"/>
      <c r="W22" s="171"/>
      <c r="X22" s="25"/>
      <c r="Y22" s="2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s="30" customFormat="1" ht="15.75" customHeight="1" thickBot="1" x14ac:dyDescent="0.35">
      <c r="A23" s="25"/>
      <c r="B23" s="369"/>
      <c r="C23" s="421"/>
      <c r="D23" s="421"/>
      <c r="E23" s="421"/>
      <c r="F23" s="421"/>
      <c r="G23" s="421"/>
      <c r="H23" s="421"/>
      <c r="I23" s="421"/>
      <c r="J23" s="422"/>
      <c r="K23" s="33"/>
      <c r="L23" s="25"/>
      <c r="M23" s="25"/>
      <c r="N23" s="25"/>
      <c r="O23" s="187"/>
      <c r="P23" s="25"/>
      <c r="Q23" s="231" t="e">
        <f>IF(OR(C33=O30,C33=O31,C33=O32,C33=O33,C33=O36,C33=O37,C33=O38,C33=O39,C33=O40)*AND(E29&lt;1,D34=6),"NO","")</f>
        <v>#N/A</v>
      </c>
      <c r="R23" s="187"/>
      <c r="S23" s="25"/>
      <c r="T23" s="25"/>
      <c r="U23" s="173"/>
      <c r="V23" s="173"/>
      <c r="W23" s="171"/>
      <c r="X23" s="25"/>
      <c r="Y23" s="25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s="30" customFormat="1" ht="15.75" customHeight="1" x14ac:dyDescent="0.3">
      <c r="A24" s="25"/>
      <c r="B24" s="369"/>
      <c r="C24" s="421"/>
      <c r="D24" s="421"/>
      <c r="E24" s="421"/>
      <c r="F24" s="421"/>
      <c r="G24" s="421"/>
      <c r="H24" s="421"/>
      <c r="I24" s="421"/>
      <c r="J24" s="422"/>
      <c r="K24" s="33"/>
      <c r="L24" s="25"/>
      <c r="M24" s="25"/>
      <c r="N24" s="25"/>
      <c r="O24" s="217" t="s">
        <v>215</v>
      </c>
      <c r="P24" s="453" t="s">
        <v>219</v>
      </c>
      <c r="Q24" s="454"/>
      <c r="R24" s="181" t="s">
        <v>215</v>
      </c>
      <c r="S24" s="181"/>
      <c r="T24" s="182"/>
      <c r="U24" s="174"/>
      <c r="V24" s="174"/>
      <c r="W24" s="171"/>
      <c r="X24" s="25"/>
      <c r="Y24" s="25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s="30" customFormat="1" ht="15.75" customHeight="1" x14ac:dyDescent="0.3">
      <c r="A25" s="25"/>
      <c r="B25" s="416" t="s">
        <v>116</v>
      </c>
      <c r="C25" s="417"/>
      <c r="D25" s="417"/>
      <c r="E25" s="31" t="s">
        <v>125</v>
      </c>
      <c r="F25" s="31" t="s">
        <v>126</v>
      </c>
      <c r="G25" s="430" t="s">
        <v>127</v>
      </c>
      <c r="H25" s="430"/>
      <c r="I25" s="31"/>
      <c r="J25" s="54"/>
      <c r="K25" s="31"/>
      <c r="L25" s="69" t="s">
        <v>125</v>
      </c>
      <c r="M25" s="69" t="s">
        <v>126</v>
      </c>
      <c r="N25" s="81" t="s">
        <v>127</v>
      </c>
      <c r="O25" s="218"/>
      <c r="P25" s="210">
        <v>5</v>
      </c>
      <c r="Q25" s="164">
        <v>6</v>
      </c>
      <c r="R25" s="115"/>
      <c r="S25" s="69"/>
      <c r="T25" s="183"/>
      <c r="U25" s="174"/>
      <c r="V25" s="174"/>
      <c r="W25" s="171"/>
      <c r="X25" s="25"/>
      <c r="Y25" s="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s="30" customFormat="1" ht="15.75" customHeight="1" thickBot="1" x14ac:dyDescent="0.35">
      <c r="A26" s="32"/>
      <c r="B26" s="418" t="s">
        <v>115</v>
      </c>
      <c r="C26" s="419"/>
      <c r="D26" s="420"/>
      <c r="E26" s="196">
        <f>IF(MODULO!$BH$12&lt;&gt;"",MODULO!$BH$12,MODULO!$BJ$21)</f>
        <v>0</v>
      </c>
      <c r="F26" s="196">
        <f>IF(MODULO!$BJ$23&lt;&gt;"",MODULO!BJ23,0)</f>
        <v>0</v>
      </c>
      <c r="G26" s="413">
        <f>IF(MODULO!$BJ$25&lt;&gt;"",MODULO!$BJ$25,0)</f>
        <v>0</v>
      </c>
      <c r="H26" s="413"/>
      <c r="I26" s="56"/>
      <c r="J26" s="57"/>
      <c r="K26" s="31" t="s">
        <v>141</v>
      </c>
      <c r="L26" s="106" t="s">
        <v>140</v>
      </c>
      <c r="M26" s="106" t="s">
        <v>140</v>
      </c>
      <c r="N26" s="166" t="s">
        <v>140</v>
      </c>
      <c r="O26" s="219" t="s">
        <v>15</v>
      </c>
      <c r="P26" s="211">
        <v>44.41</v>
      </c>
      <c r="Q26" s="176">
        <v>56.96</v>
      </c>
      <c r="R26" s="117" t="s">
        <v>15</v>
      </c>
      <c r="S26" s="106">
        <v>5</v>
      </c>
      <c r="T26" s="184">
        <v>6</v>
      </c>
      <c r="U26" s="174"/>
      <c r="V26" s="174"/>
      <c r="W26" s="171"/>
      <c r="X26" s="32"/>
      <c r="Y26" s="32"/>
    </row>
    <row r="27" spans="1:41" s="30" customFormat="1" ht="15.75" customHeight="1" thickBot="1" x14ac:dyDescent="0.35">
      <c r="A27" s="32"/>
      <c r="B27" s="416" t="s">
        <v>68</v>
      </c>
      <c r="C27" s="417"/>
      <c r="D27" s="417"/>
      <c r="E27" s="55">
        <f>IF(MODULO!$BL$12&lt;&gt;"",MODULO!$BL$12,MODULO!$BN$21)</f>
        <v>0</v>
      </c>
      <c r="F27" s="55">
        <f>IF(MODULO!$BN$23&lt;&gt;"",MODULO!$BN$23,0)</f>
        <v>0</v>
      </c>
      <c r="G27" s="398">
        <f>IF(MODULO!$BN$25&lt;&gt;"",MODULO!$BN$25,0)</f>
        <v>0</v>
      </c>
      <c r="H27" s="398"/>
      <c r="I27" s="56"/>
      <c r="J27" s="57"/>
      <c r="K27" s="31">
        <v>1.92</v>
      </c>
      <c r="L27" s="107">
        <f>SUM($E$27*$E$28/1000000)</f>
        <v>0</v>
      </c>
      <c r="M27" s="107">
        <f>IF($F$26&lt;&gt;"",SUM($F$27*$F$28/1000000),0)</f>
        <v>0</v>
      </c>
      <c r="N27" s="167">
        <f>IF(G26&lt;&gt;"",SUM($G$27*$G$28/1000000),0)</f>
        <v>0</v>
      </c>
      <c r="O27" s="219" t="s">
        <v>16</v>
      </c>
      <c r="P27" s="212">
        <v>55.52</v>
      </c>
      <c r="Q27" s="177">
        <v>62.29</v>
      </c>
      <c r="R27" s="117" t="s">
        <v>16</v>
      </c>
      <c r="S27" s="106">
        <v>5</v>
      </c>
      <c r="T27" s="184">
        <v>6</v>
      </c>
      <c r="U27" s="174"/>
      <c r="V27" s="174"/>
      <c r="W27" s="171"/>
      <c r="X27" s="32"/>
      <c r="Y27" s="32"/>
    </row>
    <row r="28" spans="1:41" s="30" customFormat="1" ht="15.75" customHeight="1" thickBot="1" x14ac:dyDescent="0.35">
      <c r="A28" s="32"/>
      <c r="B28" s="418" t="s">
        <v>69</v>
      </c>
      <c r="C28" s="419"/>
      <c r="D28" s="420"/>
      <c r="E28" s="55">
        <f>IF(MODULO!$BS$12&lt;&gt;"",MODULO!$BS$12,MODULO!$BT$21)</f>
        <v>0</v>
      </c>
      <c r="F28" s="55">
        <f>IF(MODULO!$BT$23&lt;&gt;"",MODULO!$BT$23,0)</f>
        <v>0</v>
      </c>
      <c r="G28" s="398">
        <f>IF(MODULO!$BT$25&lt;&gt;"",MODULO!$BT$25,0)</f>
        <v>0</v>
      </c>
      <c r="H28" s="398"/>
      <c r="I28" s="27"/>
      <c r="J28" s="58"/>
      <c r="K28" s="109">
        <f>SUM(L28:N28)</f>
        <v>0</v>
      </c>
      <c r="L28" s="108" t="str">
        <f>IF(L27&gt;1.92,1,"")</f>
        <v/>
      </c>
      <c r="M28" s="108" t="str">
        <f>IF(M27&gt;1.92,1,"")</f>
        <v/>
      </c>
      <c r="N28" s="168" t="str">
        <f>IF(N27&gt;1.92,1,"")</f>
        <v/>
      </c>
      <c r="O28" s="219" t="s">
        <v>18</v>
      </c>
      <c r="P28" s="213">
        <v>118.96</v>
      </c>
      <c r="Q28" s="178">
        <v>125.74</v>
      </c>
      <c r="R28" s="117" t="s">
        <v>18</v>
      </c>
      <c r="S28" s="106">
        <v>5</v>
      </c>
      <c r="T28" s="184">
        <v>6</v>
      </c>
      <c r="U28" s="174"/>
      <c r="V28" s="174"/>
      <c r="W28" s="171"/>
      <c r="X28" s="32"/>
      <c r="Y28" s="32"/>
    </row>
    <row r="29" spans="1:41" s="30" customFormat="1" ht="15.75" customHeight="1" thickBot="1" x14ac:dyDescent="0.35">
      <c r="A29" s="32"/>
      <c r="B29" s="416" t="s">
        <v>70</v>
      </c>
      <c r="C29" s="417"/>
      <c r="D29" s="417"/>
      <c r="E29" s="59">
        <f>MODULO!$O$26</f>
        <v>0</v>
      </c>
      <c r="F29" s="55">
        <f>IF($F$26&lt;&gt;"",MODULO!$O$26,"")</f>
        <v>0</v>
      </c>
      <c r="G29" s="398">
        <f>IF($G$26&lt;&gt;"",MODULO!$O$26,"")</f>
        <v>0</v>
      </c>
      <c r="H29" s="398"/>
      <c r="I29" s="27"/>
      <c r="J29" s="60"/>
      <c r="K29" s="31"/>
      <c r="L29" s="32"/>
      <c r="M29" s="32"/>
      <c r="N29" s="32"/>
      <c r="O29" s="219" t="s">
        <v>19</v>
      </c>
      <c r="P29" s="212"/>
      <c r="Q29" s="177">
        <v>138.72</v>
      </c>
      <c r="R29" s="117" t="s">
        <v>19</v>
      </c>
      <c r="S29" s="106"/>
      <c r="T29" s="184">
        <v>6</v>
      </c>
      <c r="U29" s="174"/>
      <c r="V29" s="174"/>
      <c r="W29" s="171"/>
      <c r="X29" s="32"/>
      <c r="Y29" s="32"/>
    </row>
    <row r="30" spans="1:41" s="30" customFormat="1" ht="15.75" customHeight="1" x14ac:dyDescent="0.3">
      <c r="A30" s="32"/>
      <c r="B30" s="418" t="s">
        <v>71</v>
      </c>
      <c r="C30" s="419"/>
      <c r="D30" s="420"/>
      <c r="E30" s="55">
        <f>MODULO!$O$20</f>
        <v>0</v>
      </c>
      <c r="F30" s="61"/>
      <c r="G30" s="310"/>
      <c r="H30" s="310"/>
      <c r="I30" s="27"/>
      <c r="J30" s="60"/>
      <c r="K30" s="191" t="s">
        <v>223</v>
      </c>
      <c r="L30" s="160">
        <f>IF($D$16="ALLUMINIO ANODIZZATO",$E$30*netti!$G$94,IF($D$16="RAL 9016 BIANCO OPACO",$E$30*netti!$I$94,IF($D$16="METAL GREY",$E$30*netti!$K$94,0)))</f>
        <v>0</v>
      </c>
      <c r="M30" s="32"/>
      <c r="N30" s="32"/>
      <c r="O30" s="219" t="s">
        <v>20</v>
      </c>
      <c r="P30" s="214">
        <v>95.17</v>
      </c>
      <c r="Q30" s="179"/>
      <c r="R30" s="117" t="s">
        <v>20</v>
      </c>
      <c r="S30" s="106">
        <v>5</v>
      </c>
      <c r="T30" s="184"/>
      <c r="U30" s="174"/>
      <c r="V30" s="174"/>
      <c r="W30" s="172"/>
      <c r="X30" s="32"/>
      <c r="Y30" s="32"/>
    </row>
    <row r="31" spans="1:41" s="30" customFormat="1" ht="15.75" customHeight="1" x14ac:dyDescent="0.3">
      <c r="A31" s="32"/>
      <c r="B31" s="62"/>
      <c r="C31" s="33"/>
      <c r="D31" s="33"/>
      <c r="E31" s="33"/>
      <c r="F31" s="63"/>
      <c r="G31" s="27"/>
      <c r="H31" s="27"/>
      <c r="I31" s="27"/>
      <c r="J31" s="60"/>
      <c r="K31" s="31"/>
      <c r="L31" s="32"/>
      <c r="M31" s="32"/>
      <c r="N31" s="32"/>
      <c r="O31" s="219" t="s">
        <v>22</v>
      </c>
      <c r="P31" s="215">
        <v>95.17</v>
      </c>
      <c r="Q31" s="180"/>
      <c r="R31" s="117" t="s">
        <v>22</v>
      </c>
      <c r="S31" s="106">
        <v>5</v>
      </c>
      <c r="T31" s="184"/>
      <c r="U31" s="174"/>
      <c r="V31" s="174"/>
      <c r="W31" s="171"/>
      <c r="X31" s="32"/>
      <c r="Y31" s="32"/>
    </row>
    <row r="32" spans="1:41" s="30" customFormat="1" ht="15.75" customHeight="1" x14ac:dyDescent="0.3">
      <c r="A32" s="32"/>
      <c r="B32" s="456" t="s">
        <v>120</v>
      </c>
      <c r="C32" s="457"/>
      <c r="D32" s="443">
        <f>MODULO!$O$10</f>
        <v>0</v>
      </c>
      <c r="E32" s="444"/>
      <c r="F32" s="444"/>
      <c r="G32" s="444"/>
      <c r="H32" s="64" t="s">
        <v>72</v>
      </c>
      <c r="I32" s="400" t="str">
        <f>IF(MODULO!O36="SI","MONTATE",IF(MODULO!O36="NO","SMONTATE",""))</f>
        <v/>
      </c>
      <c r="J32" s="401"/>
      <c r="K32" s="27"/>
      <c r="L32" s="32"/>
      <c r="M32" s="32"/>
      <c r="N32" s="32"/>
      <c r="O32" s="219" t="s">
        <v>23</v>
      </c>
      <c r="P32" s="215">
        <v>146.36000000000001</v>
      </c>
      <c r="Q32" s="180"/>
      <c r="R32" s="117" t="s">
        <v>23</v>
      </c>
      <c r="S32" s="106">
        <v>5</v>
      </c>
      <c r="T32" s="184"/>
      <c r="U32" s="174"/>
      <c r="V32" s="174"/>
      <c r="W32" s="171"/>
      <c r="X32" s="32"/>
      <c r="Y32" s="32"/>
    </row>
    <row r="33" spans="1:41" s="30" customFormat="1" ht="15.75" customHeight="1" thickBot="1" x14ac:dyDescent="0.35">
      <c r="A33" s="32"/>
      <c r="B33" s="64" t="s">
        <v>131</v>
      </c>
      <c r="C33" s="390">
        <f>MODULO!F38</f>
        <v>0</v>
      </c>
      <c r="D33" s="391"/>
      <c r="E33" s="390"/>
      <c r="F33" s="390"/>
      <c r="G33" s="390"/>
      <c r="H33" s="65" t="s">
        <v>113</v>
      </c>
      <c r="I33" s="392" t="s">
        <v>124</v>
      </c>
      <c r="J33" s="393"/>
      <c r="K33" s="113" t="s">
        <v>140</v>
      </c>
      <c r="L33" s="32" t="s">
        <v>144</v>
      </c>
      <c r="M33" s="116" t="s">
        <v>145</v>
      </c>
      <c r="N33" s="32"/>
      <c r="O33" s="219" t="s">
        <v>4</v>
      </c>
      <c r="P33" s="215">
        <v>158.62</v>
      </c>
      <c r="Q33" s="180"/>
      <c r="R33" s="117" t="s">
        <v>4</v>
      </c>
      <c r="S33" s="106">
        <v>5</v>
      </c>
      <c r="T33" s="184">
        <v>6</v>
      </c>
      <c r="U33" s="174"/>
      <c r="V33" s="174"/>
      <c r="W33" s="171"/>
      <c r="X33" s="32"/>
      <c r="Y33" s="32"/>
    </row>
    <row r="34" spans="1:41" s="30" customFormat="1" ht="15.75" customHeight="1" thickBot="1" x14ac:dyDescent="0.35">
      <c r="A34" s="32"/>
      <c r="B34" s="394" t="s">
        <v>142</v>
      </c>
      <c r="C34" s="395"/>
      <c r="D34" s="206" t="e">
        <f>IF(AND(E29&gt;0,E34=5),5,IF(AND(E29&gt;0,F34=6),6,IF(AND(E29=0,F34=6),6,IF(AND(E29=0,E34=5),5,0))))</f>
        <v>#N/A</v>
      </c>
      <c r="E34" s="165" t="e">
        <f>VLOOKUP($C$33,$R$26:$T$48,2,FALSE)</f>
        <v>#N/A</v>
      </c>
      <c r="F34" s="165" t="e">
        <f>VLOOKUP($C$33,$R$26:$T$48,3,FALSE)</f>
        <v>#N/A</v>
      </c>
      <c r="G34" s="66" t="s">
        <v>128</v>
      </c>
      <c r="H34" s="67">
        <f>$E$26*($E$29+1)</f>
        <v>0</v>
      </c>
      <c r="I34" s="110">
        <f>SUM(($E$27-(49+(4.8*$E$29)))/($E$29+1))</f>
        <v>-49</v>
      </c>
      <c r="J34" s="68">
        <f>$E$28-20</f>
        <v>-20</v>
      </c>
      <c r="K34" s="27" t="str">
        <f>IF(H34&lt;&gt;0,SUM((J34*I34*H34)/1000000),"")</f>
        <v/>
      </c>
      <c r="L34" s="108">
        <f>IF(H34&lt;&gt;0,SUM(K34*M34),0)</f>
        <v>0</v>
      </c>
      <c r="M34" s="115" t="e">
        <f>INDEX($O$25:$Q$48,MATCH($C$33,$O$25:$O$48,0),MATCH($D$34,$O$25:$Q$25,0))</f>
        <v>#N/A</v>
      </c>
      <c r="N34" s="32"/>
      <c r="O34" s="219" t="s">
        <v>24</v>
      </c>
      <c r="P34" s="215">
        <v>63.27</v>
      </c>
      <c r="Q34" s="180">
        <v>77.87</v>
      </c>
      <c r="R34" s="117" t="s">
        <v>24</v>
      </c>
      <c r="S34" s="106">
        <v>5</v>
      </c>
      <c r="T34" s="184">
        <v>6</v>
      </c>
      <c r="U34" s="174"/>
      <c r="V34" s="174"/>
      <c r="W34" s="171"/>
      <c r="X34" s="32"/>
      <c r="Y34" s="32"/>
    </row>
    <row r="35" spans="1:41" s="30" customFormat="1" ht="15.75" customHeight="1" x14ac:dyDescent="0.3">
      <c r="A35" s="32"/>
      <c r="B35" s="111"/>
      <c r="C35" s="112"/>
      <c r="D35" s="112"/>
      <c r="E35" s="112"/>
      <c r="F35" s="112"/>
      <c r="G35" s="66" t="s">
        <v>129</v>
      </c>
      <c r="H35" s="69">
        <f>IF($F$26&lt;&gt;"",$F$26*($F$29+1),"")</f>
        <v>0</v>
      </c>
      <c r="I35" s="110">
        <f>IF(AND($F$26&lt;&gt;0,$F$27=0),SUM(($E$27-(49+(4.8*$F$29)))/($F$29+1)),IF(AND($F$26&lt;&gt;0,$F$27&lt;&gt;0),SUM(($F$27-(49+(4.8*$F$29)))/($F$29+1)),0))</f>
        <v>0</v>
      </c>
      <c r="J35" s="68">
        <f>IF(AND($F$26&lt;&gt;0,$F$28&lt;&gt;0),$F$28-20,IF(AND($F$26&lt;&gt;0,$F$28=0),$E$28-20,0))</f>
        <v>0</v>
      </c>
      <c r="K35" s="27">
        <f>IF(H35&lt;&gt;"",SUM((J35*I35*H35)/1000000),"")</f>
        <v>0</v>
      </c>
      <c r="L35" s="115" t="e">
        <f t="shared" ref="L35" si="0">IF(H35&lt;&gt;"",SUM(K35*M35),0)</f>
        <v>#N/A</v>
      </c>
      <c r="M35" s="115" t="e">
        <f>INDEX($O$25:$Q$48,MATCH($C$33,$O$25:$O$48,0),MATCH($D$34,$O$25:$Q$25,0))</f>
        <v>#N/A</v>
      </c>
      <c r="N35" s="32"/>
      <c r="O35" s="219" t="s">
        <v>25</v>
      </c>
      <c r="P35" s="215">
        <v>63.27</v>
      </c>
      <c r="Q35" s="180">
        <v>77.87</v>
      </c>
      <c r="R35" s="117" t="s">
        <v>25</v>
      </c>
      <c r="S35" s="106">
        <v>5</v>
      </c>
      <c r="T35" s="184">
        <v>6</v>
      </c>
      <c r="U35" s="174"/>
      <c r="V35" s="174"/>
      <c r="W35" s="171"/>
      <c r="X35" s="32"/>
      <c r="Y35" s="32"/>
    </row>
    <row r="36" spans="1:41" s="30" customFormat="1" ht="15.75" customHeight="1" x14ac:dyDescent="0.3">
      <c r="A36" s="32"/>
      <c r="B36" s="111"/>
      <c r="C36" s="112"/>
      <c r="D36" s="112"/>
      <c r="E36" s="112"/>
      <c r="F36" s="112"/>
      <c r="G36" s="66" t="s">
        <v>130</v>
      </c>
      <c r="H36" s="69">
        <f>IF($G$26&lt;&gt;"",$G$26*($G$29+1),"")</f>
        <v>0</v>
      </c>
      <c r="I36" s="110">
        <f>IF(AND($G$26&lt;&gt;0,$G$27&lt;&gt;0),SUM(($G$27-(49+(4.8*$G$29)))/($G$29+1)),IF(AND($G$26&lt;&gt;0,$G$27=0),SUM(($E$27-(49+(4.8*$G$29)))/($G$29+1)),0))</f>
        <v>0</v>
      </c>
      <c r="J36" s="68">
        <f>IF(AND($G$26&lt;&gt;0,$G$28&lt;&gt;0),$G$28-20,IF(AND($G$26&lt;&gt;0,$G$28=0),$E$28-20,0))</f>
        <v>0</v>
      </c>
      <c r="K36" s="27">
        <f>IF(H36&lt;&gt;"",SUM((J36*I36*H36)/1000000),"")</f>
        <v>0</v>
      </c>
      <c r="L36" s="115" t="e">
        <f>IF(H36&lt;&gt;"",SUM(K36*M36),0)</f>
        <v>#N/A</v>
      </c>
      <c r="M36" s="115" t="e">
        <f>INDEX($O$25:$Q$48,MATCH($C$33,$O$25:$O$48,0),MATCH($D$34,$O$25:$Q$25,0))</f>
        <v>#N/A</v>
      </c>
      <c r="N36" s="32"/>
      <c r="O36" s="219" t="s">
        <v>27</v>
      </c>
      <c r="P36" s="215">
        <v>103.1</v>
      </c>
      <c r="Q36" s="180"/>
      <c r="R36" s="117" t="s">
        <v>27</v>
      </c>
      <c r="S36" s="106">
        <v>5</v>
      </c>
      <c r="T36" s="184"/>
      <c r="U36" s="173"/>
      <c r="V36" s="173"/>
      <c r="W36" s="171"/>
      <c r="X36" s="32"/>
      <c r="Y36" s="32"/>
    </row>
    <row r="37" spans="1:41" s="30" customFormat="1" ht="15.75" customHeight="1" x14ac:dyDescent="0.3">
      <c r="A37" s="32"/>
      <c r="B37" s="70"/>
      <c r="C37" s="71"/>
      <c r="D37" s="71"/>
      <c r="E37" s="71"/>
      <c r="F37" s="71"/>
      <c r="G37" s="71"/>
      <c r="H37" s="71"/>
      <c r="I37" s="71"/>
      <c r="J37" s="60"/>
      <c r="K37" s="27"/>
      <c r="L37" s="188"/>
      <c r="M37" s="160" t="str">
        <f>IF(L34&gt;0,SUM($L$34:$L$36),"")</f>
        <v/>
      </c>
      <c r="N37" s="32"/>
      <c r="O37" s="219" t="s">
        <v>29</v>
      </c>
      <c r="P37" s="215">
        <v>103.1</v>
      </c>
      <c r="Q37" s="180"/>
      <c r="R37" s="117" t="s">
        <v>29</v>
      </c>
      <c r="S37" s="106">
        <v>5</v>
      </c>
      <c r="T37" s="184"/>
      <c r="U37" s="175"/>
      <c r="V37" s="175"/>
      <c r="W37" s="171"/>
      <c r="X37" s="32"/>
      <c r="Y37" s="32"/>
    </row>
    <row r="38" spans="1:41" s="30" customFormat="1" ht="15.75" customHeight="1" x14ac:dyDescent="0.3">
      <c r="A38" s="32"/>
      <c r="B38" s="440" t="s">
        <v>73</v>
      </c>
      <c r="C38" s="440"/>
      <c r="D38" s="72" t="s">
        <v>74</v>
      </c>
      <c r="E38" s="73">
        <f>((($I$59*928)*2+(($I$69*756)*2))/1000000)</f>
        <v>-9.5680000000000001E-2</v>
      </c>
      <c r="F38" s="438" t="s">
        <v>75</v>
      </c>
      <c r="G38" s="441" t="s">
        <v>74</v>
      </c>
      <c r="H38" s="442"/>
      <c r="I38" s="74">
        <f>$E$38</f>
        <v>-9.5680000000000001E-2</v>
      </c>
      <c r="J38" s="75"/>
      <c r="K38" s="38"/>
      <c r="L38" s="32"/>
      <c r="M38" s="32"/>
      <c r="N38" s="32"/>
      <c r="O38" s="219" t="s">
        <v>135</v>
      </c>
      <c r="P38" s="215">
        <v>121.56</v>
      </c>
      <c r="Q38" s="180"/>
      <c r="R38" s="117" t="s">
        <v>135</v>
      </c>
      <c r="S38" s="106">
        <v>5</v>
      </c>
      <c r="T38" s="184"/>
      <c r="U38" s="175"/>
      <c r="V38" s="175"/>
      <c r="W38" s="171"/>
      <c r="X38" s="32"/>
      <c r="Y38" s="32"/>
    </row>
    <row r="39" spans="1:41" ht="15.75" customHeight="1" x14ac:dyDescent="0.3">
      <c r="A39" s="32"/>
      <c r="B39" s="459"/>
      <c r="C39" s="459"/>
      <c r="D39" s="76" t="s">
        <v>3</v>
      </c>
      <c r="E39" s="74">
        <f>IF(E26&gt;0,((($J$34*$I$34*$D$34)/1000000000)*($H$34/$E$26)*2600),0)</f>
        <v>0</v>
      </c>
      <c r="F39" s="439"/>
      <c r="G39" s="441" t="s">
        <v>76</v>
      </c>
      <c r="H39" s="442"/>
      <c r="I39" s="74" t="e">
        <f>((((($J$34+2)*($I$34+4)/1000000)*15)))*($H$34/$E$26)</f>
        <v>#DIV/0!</v>
      </c>
      <c r="J39" s="75"/>
      <c r="K39" s="38"/>
      <c r="L39" s="34"/>
      <c r="M39" s="35"/>
      <c r="N39" s="32"/>
      <c r="O39" s="219" t="s">
        <v>136</v>
      </c>
      <c r="P39" s="215">
        <v>121.6</v>
      </c>
      <c r="Q39" s="180"/>
      <c r="R39" s="117" t="s">
        <v>136</v>
      </c>
      <c r="S39" s="106">
        <v>5</v>
      </c>
      <c r="T39" s="184"/>
      <c r="U39" s="175"/>
      <c r="V39" s="175"/>
      <c r="W39" s="171"/>
      <c r="X39" s="32"/>
      <c r="Y39" s="3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1:41" s="36" customFormat="1" ht="15.75" customHeight="1" x14ac:dyDescent="0.25">
      <c r="A40" s="32"/>
      <c r="B40" s="459"/>
      <c r="C40" s="459"/>
      <c r="D40" s="76" t="s">
        <v>78</v>
      </c>
      <c r="E40" s="74">
        <f>SUM($E$38:$E$39)</f>
        <v>-9.5680000000000001E-2</v>
      </c>
      <c r="F40" s="440"/>
      <c r="G40" s="441" t="s">
        <v>78</v>
      </c>
      <c r="H40" s="442"/>
      <c r="I40" s="74" t="e">
        <f>SUM($I$38:$I$39)</f>
        <v>#DIV/0!</v>
      </c>
      <c r="J40" s="75"/>
      <c r="K40" s="38"/>
      <c r="L40" s="34"/>
      <c r="M40" s="35"/>
      <c r="N40" s="32"/>
      <c r="O40" s="219" t="s">
        <v>216</v>
      </c>
      <c r="P40" s="215">
        <v>76.430000000000007</v>
      </c>
      <c r="Q40" s="180"/>
      <c r="R40" s="117" t="s">
        <v>216</v>
      </c>
      <c r="S40" s="106">
        <v>5</v>
      </c>
      <c r="T40" s="184">
        <v>6</v>
      </c>
      <c r="U40" s="32"/>
      <c r="V40" s="32"/>
      <c r="W40" s="32"/>
      <c r="X40" s="32"/>
      <c r="Y40" s="3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1:41" s="36" customFormat="1" ht="15.75" customHeight="1" x14ac:dyDescent="0.25">
      <c r="A41" s="32"/>
      <c r="B41" s="77"/>
      <c r="C41" s="78"/>
      <c r="D41" s="79"/>
      <c r="E41" s="38"/>
      <c r="F41" s="38"/>
      <c r="G41" s="33"/>
      <c r="H41" s="33"/>
      <c r="I41" s="33"/>
      <c r="J41" s="80"/>
      <c r="K41" s="33"/>
      <c r="L41" s="32"/>
      <c r="M41" s="32"/>
      <c r="N41" s="32"/>
      <c r="O41" s="219" t="s">
        <v>31</v>
      </c>
      <c r="P41" s="215"/>
      <c r="Q41" s="180"/>
      <c r="R41" s="117" t="s">
        <v>31</v>
      </c>
      <c r="S41" s="106"/>
      <c r="T41" s="184">
        <v>6</v>
      </c>
      <c r="U41" s="32"/>
      <c r="V41" s="32"/>
      <c r="W41" s="32"/>
      <c r="X41" s="32"/>
      <c r="Y41" s="3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</row>
    <row r="42" spans="1:41" s="36" customFormat="1" ht="15.75" customHeight="1" x14ac:dyDescent="0.25">
      <c r="A42" s="32"/>
      <c r="B42" s="437" t="s">
        <v>79</v>
      </c>
      <c r="C42" s="437"/>
      <c r="D42" s="437"/>
      <c r="E42" s="437" t="s">
        <v>80</v>
      </c>
      <c r="F42" s="437"/>
      <c r="G42" s="437"/>
      <c r="H42" s="437" t="s">
        <v>81</v>
      </c>
      <c r="I42" s="396" t="s">
        <v>82</v>
      </c>
      <c r="J42" s="397"/>
      <c r="K42" s="27"/>
      <c r="L42" s="32"/>
      <c r="M42" s="32"/>
      <c r="N42" s="32"/>
      <c r="O42" s="219" t="s">
        <v>217</v>
      </c>
      <c r="P42" s="215"/>
      <c r="Q42" s="180"/>
      <c r="R42" s="117" t="s">
        <v>217</v>
      </c>
      <c r="S42" s="106"/>
      <c r="T42" s="184">
        <v>6</v>
      </c>
      <c r="U42" s="32"/>
      <c r="V42" s="32"/>
      <c r="W42" s="32"/>
      <c r="X42" s="32"/>
      <c r="Y42" s="3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1:41" s="36" customFormat="1" ht="15.75" customHeight="1" x14ac:dyDescent="0.3">
      <c r="A43" s="25"/>
      <c r="B43" s="437"/>
      <c r="C43" s="437"/>
      <c r="D43" s="437"/>
      <c r="E43" s="437"/>
      <c r="F43" s="437"/>
      <c r="G43" s="437"/>
      <c r="H43" s="437"/>
      <c r="I43" s="396"/>
      <c r="J43" s="397"/>
      <c r="K43" s="158" t="s">
        <v>212</v>
      </c>
      <c r="L43" s="158" t="s">
        <v>209</v>
      </c>
      <c r="M43" s="158" t="s">
        <v>211</v>
      </c>
      <c r="N43" s="25"/>
      <c r="O43" s="219" t="s">
        <v>218</v>
      </c>
      <c r="P43" s="216"/>
      <c r="Q43" s="216"/>
      <c r="R43" s="117" t="s">
        <v>218</v>
      </c>
      <c r="S43" s="106"/>
      <c r="T43" s="184">
        <v>6</v>
      </c>
      <c r="U43" s="25"/>
      <c r="V43" s="25"/>
      <c r="W43" s="25"/>
      <c r="X43" s="25"/>
      <c r="Y43" s="2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s="36" customFormat="1" ht="15.75" customHeight="1" x14ac:dyDescent="0.25">
      <c r="A44" s="37"/>
      <c r="B44" s="408" t="s">
        <v>84</v>
      </c>
      <c r="C44" s="408"/>
      <c r="D44" s="408"/>
      <c r="E44" s="408" t="str">
        <f>IF(MODULO!$O$12=2,"PR957000042ZZ",IF(MODULO!$O$12=1,"PR957000041ZZ",""))</f>
        <v/>
      </c>
      <c r="F44" s="408"/>
      <c r="G44" s="408"/>
      <c r="H44" s="69">
        <f>C12</f>
        <v>0</v>
      </c>
      <c r="I44" s="81">
        <f>IF(MODULO!$BO$19&lt;&gt;"",MODULO!$BO$19,MODULO!$Y$38-2)</f>
        <v>-2</v>
      </c>
      <c r="J44" s="54"/>
      <c r="K44" s="69">
        <f>IF(H44&gt;0,H44*H12/1000,0)</f>
        <v>0</v>
      </c>
      <c r="L44" s="159" t="str">
        <f>IF(AND($E$12="A 1 VIA",$D$13="BINARIO ALLUMINIO ANODIZZATO"),netti!G82,IF(AND($E$12="A 1 VIA",$D$13="BINARIO METAL GREY"),netti!K82,IF(AND($E$12="A 2 VIE",$D$13="BINARIO ALLUMINIO ANODIZZATO"),netti!G83,IF(AND($E$12="A 2 VIE",$D$13="BINARIO METAL GREY"),netti!K83,"0"))))</f>
        <v>0</v>
      </c>
      <c r="M44" s="160">
        <f>SUM(L44*K44)</f>
        <v>0</v>
      </c>
      <c r="N44" s="37"/>
      <c r="O44" s="219" t="s">
        <v>231</v>
      </c>
      <c r="P44" s="216"/>
      <c r="Q44" s="216"/>
      <c r="R44" s="117" t="s">
        <v>231</v>
      </c>
      <c r="S44" s="114"/>
      <c r="T44" s="184">
        <v>6</v>
      </c>
      <c r="U44" s="37"/>
      <c r="V44" s="37"/>
      <c r="W44" s="37"/>
      <c r="X44" s="37"/>
      <c r="Y44" s="37"/>
    </row>
    <row r="45" spans="1:41" s="36" customFormat="1" ht="15.75" customHeight="1" thickBot="1" x14ac:dyDescent="0.3">
      <c r="A45" s="37"/>
      <c r="B45" s="82"/>
      <c r="E45" s="386"/>
      <c r="F45" s="386"/>
      <c r="G45" s="386"/>
      <c r="H45" s="83"/>
      <c r="I45" s="33"/>
      <c r="J45" s="386"/>
      <c r="K45" s="79"/>
      <c r="L45" s="157"/>
      <c r="M45" s="37"/>
      <c r="N45" s="37"/>
      <c r="O45" s="222" t="s">
        <v>232</v>
      </c>
      <c r="P45" s="223"/>
      <c r="Q45" s="223"/>
      <c r="R45" s="224" t="s">
        <v>232</v>
      </c>
      <c r="S45" s="225"/>
      <c r="T45" s="226">
        <v>6</v>
      </c>
      <c r="U45" s="37"/>
      <c r="V45" s="37"/>
      <c r="W45" s="37"/>
      <c r="X45" s="37"/>
      <c r="Y45" s="37"/>
    </row>
    <row r="46" spans="1:41" s="36" customFormat="1" ht="15.75" customHeight="1" x14ac:dyDescent="0.25">
      <c r="A46" s="37"/>
      <c r="B46" s="82"/>
      <c r="E46" s="386"/>
      <c r="F46" s="386"/>
      <c r="G46" s="386"/>
      <c r="J46" s="386"/>
      <c r="L46" s="37"/>
      <c r="M46" s="37"/>
      <c r="N46" s="37"/>
      <c r="O46" s="227" t="s">
        <v>234</v>
      </c>
      <c r="P46" s="228">
        <v>0</v>
      </c>
      <c r="Q46" s="228">
        <v>0</v>
      </c>
      <c r="R46" s="227" t="s">
        <v>234</v>
      </c>
      <c r="S46" s="229">
        <v>5</v>
      </c>
      <c r="T46" s="230">
        <v>6</v>
      </c>
      <c r="U46" s="37"/>
      <c r="V46" s="37"/>
      <c r="W46" s="37"/>
      <c r="X46" s="37"/>
      <c r="Y46" s="37"/>
    </row>
    <row r="47" spans="1:41" s="36" customFormat="1" ht="15.75" customHeight="1" x14ac:dyDescent="0.25">
      <c r="A47" s="37"/>
      <c r="B47" s="82"/>
      <c r="E47" s="386"/>
      <c r="F47" s="386"/>
      <c r="G47" s="386"/>
      <c r="H47" s="234" t="str">
        <f>DATI!Q21</f>
        <v/>
      </c>
      <c r="I47" s="31" t="str">
        <f>IF(H47&lt;&gt;"","regolatori","")</f>
        <v/>
      </c>
      <c r="J47" s="386"/>
      <c r="K47" s="31" t="s">
        <v>248</v>
      </c>
      <c r="L47" s="114">
        <v>1</v>
      </c>
      <c r="M47" s="160" t="str">
        <f>IF(H47&lt;&gt;"",SUM(L47*H47),"")</f>
        <v/>
      </c>
      <c r="N47" s="37"/>
      <c r="O47" s="219" t="s">
        <v>235</v>
      </c>
      <c r="P47" s="216">
        <v>0</v>
      </c>
      <c r="Q47" s="216">
        <v>0</v>
      </c>
      <c r="R47" s="219" t="s">
        <v>235</v>
      </c>
      <c r="S47" s="114">
        <v>5</v>
      </c>
      <c r="T47" s="221">
        <v>6</v>
      </c>
      <c r="U47" s="37"/>
      <c r="V47" s="37"/>
      <c r="W47" s="37"/>
      <c r="X47" s="37"/>
      <c r="Y47" s="37"/>
    </row>
    <row r="48" spans="1:41" s="36" customFormat="1" ht="15.75" customHeight="1" thickBot="1" x14ac:dyDescent="0.3">
      <c r="A48" s="37"/>
      <c r="B48" s="85"/>
      <c r="C48" s="86"/>
      <c r="D48" s="86"/>
      <c r="E48" s="433"/>
      <c r="F48" s="433"/>
      <c r="G48" s="433"/>
      <c r="H48" s="86"/>
      <c r="I48" s="86" t="str">
        <f>IF(H47&lt;&gt;"","PS65KV1002","")</f>
        <v/>
      </c>
      <c r="J48" s="386"/>
      <c r="L48" s="161" t="s">
        <v>211</v>
      </c>
      <c r="M48" s="37"/>
      <c r="N48" s="37"/>
      <c r="O48" s="220" t="s">
        <v>236</v>
      </c>
      <c r="P48" s="169">
        <v>0</v>
      </c>
      <c r="Q48" s="169">
        <v>0</v>
      </c>
      <c r="R48" s="220" t="s">
        <v>236</v>
      </c>
      <c r="S48" s="185">
        <v>5</v>
      </c>
      <c r="T48" s="186">
        <v>6</v>
      </c>
      <c r="U48" s="37"/>
      <c r="V48" s="37"/>
      <c r="W48" s="37"/>
      <c r="X48" s="37"/>
      <c r="Y48" s="37"/>
    </row>
    <row r="49" spans="1:25" s="36" customFormat="1" ht="15.75" customHeight="1" x14ac:dyDescent="0.25">
      <c r="A49" s="37"/>
      <c r="B49" s="408" t="s">
        <v>112</v>
      </c>
      <c r="C49" s="408"/>
      <c r="D49" s="408"/>
      <c r="E49" s="408"/>
      <c r="F49" s="408"/>
      <c r="G49" s="408"/>
      <c r="H49" s="69" t="str">
        <f>IF(MODULO!$O$16=0,"0",IF(MODULO!$O$16&lt;=2,"2",IF(MODULO!$O$16&lt;=4,"4",IF(MODULO!$O$16&lt;=6,"6",IF(MODULO!$O$16&lt;=8,"8")))))</f>
        <v>0</v>
      </c>
      <c r="I49" s="69"/>
      <c r="J49" s="54"/>
      <c r="K49" s="31" t="s">
        <v>210</v>
      </c>
      <c r="L49" s="114">
        <f>IF($D$16="ALLUMINIO ANODIZZATO",$H$49/2*netti!$G$86,IF($D$16="RAL 9016 BIANCO OPACO",$H$49/2*netti!$I$86,IF($D$16="METAL GREY",$H$49/2*netti!$K$86,0)))</f>
        <v>0</v>
      </c>
      <c r="M49" s="160">
        <f>L49</f>
        <v>0</v>
      </c>
      <c r="N49" s="37"/>
      <c r="O49" s="37"/>
      <c r="P49" s="155"/>
      <c r="Q49" s="156"/>
      <c r="R49" s="37"/>
      <c r="S49" s="37"/>
      <c r="T49" s="155"/>
      <c r="U49" s="37"/>
      <c r="V49" s="37"/>
      <c r="W49" s="37"/>
      <c r="X49" s="37"/>
      <c r="Y49" s="37"/>
    </row>
    <row r="50" spans="1:25" s="36" customFormat="1" ht="15.75" customHeight="1" x14ac:dyDescent="0.25">
      <c r="A50" s="37"/>
      <c r="B50" s="408" t="s">
        <v>85</v>
      </c>
      <c r="C50" s="408"/>
      <c r="D50" s="408"/>
      <c r="E50" s="408" t="s">
        <v>86</v>
      </c>
      <c r="F50" s="408"/>
      <c r="G50" s="408"/>
      <c r="H50" s="69">
        <f>MODULO!$O$18</f>
        <v>0</v>
      </c>
      <c r="I50" s="69">
        <f>IF(H50&gt;0,$I$44,0)</f>
        <v>0</v>
      </c>
      <c r="J50" s="54"/>
      <c r="K50" s="31" t="s">
        <v>209</v>
      </c>
      <c r="L50" s="114">
        <f>IF($D$16="ALLUMINIO ANODIZZATO",$H$50*I50/1000*netti!$G$85,IF($D$16="RAL 9016 BIANCO OPACO",$H$50*I50/1000*netti!$I$85,0))</f>
        <v>0</v>
      </c>
      <c r="M50" s="160">
        <f t="shared" ref="M50:M51" si="1">L50</f>
        <v>0</v>
      </c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s="36" customFormat="1" ht="15.75" customHeight="1" x14ac:dyDescent="0.25">
      <c r="A51" s="37"/>
      <c r="B51" s="434" t="s">
        <v>87</v>
      </c>
      <c r="C51" s="434"/>
      <c r="D51" s="434"/>
      <c r="E51" s="408" t="s">
        <v>86</v>
      </c>
      <c r="F51" s="408"/>
      <c r="G51" s="408"/>
      <c r="H51" s="69">
        <f>IF(MODULO!$Z$14="SI",MODULO!$O$14,0)</f>
        <v>0</v>
      </c>
      <c r="I51" s="69">
        <f>IF(H51&lt;&gt;0,$I$44,0)</f>
        <v>0</v>
      </c>
      <c r="J51" s="54"/>
      <c r="K51" s="31" t="s">
        <v>209</v>
      </c>
      <c r="L51" s="114">
        <f>IF($H$51&gt;=1,I51/1000*netti!$G$84,0)</f>
        <v>0</v>
      </c>
      <c r="M51" s="160">
        <f t="shared" si="1"/>
        <v>0</v>
      </c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s="36" customFormat="1" ht="15.75" customHeight="1" x14ac:dyDescent="0.25">
      <c r="A52" s="37"/>
      <c r="B52" s="82"/>
      <c r="E52" s="386"/>
      <c r="F52" s="386"/>
      <c r="G52" s="386"/>
      <c r="J52" s="84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s="36" customFormat="1" ht="15.75" customHeight="1" x14ac:dyDescent="0.25">
      <c r="A53" s="37"/>
      <c r="B53" s="82"/>
      <c r="E53" s="386"/>
      <c r="F53" s="386"/>
      <c r="G53" s="386"/>
      <c r="H53" s="451" t="str">
        <f>IF(OR($H$51&lt;&gt;0,$H$50&lt;&gt;0),"DARE VITI CON BULLONI PER FISSAGGIO","")</f>
        <v/>
      </c>
      <c r="I53" s="451"/>
      <c r="J53" s="452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s="36" customFormat="1" ht="15.75" customHeight="1" x14ac:dyDescent="0.25">
      <c r="A54" s="37"/>
      <c r="B54" s="82"/>
      <c r="E54" s="386"/>
      <c r="F54" s="386"/>
      <c r="G54" s="386"/>
      <c r="H54" s="451"/>
      <c r="I54" s="451"/>
      <c r="J54" s="452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s="36" customFormat="1" ht="15.75" customHeight="1" x14ac:dyDescent="0.25">
      <c r="A55" s="37"/>
      <c r="B55" s="82"/>
      <c r="E55" s="386"/>
      <c r="F55" s="386"/>
      <c r="G55" s="386"/>
      <c r="H55" s="451"/>
      <c r="I55" s="451"/>
      <c r="J55" s="452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s="36" customFormat="1" ht="15.75" customHeight="1" x14ac:dyDescent="0.25">
      <c r="A56" s="37"/>
      <c r="B56" s="82"/>
      <c r="E56" s="87"/>
      <c r="F56" s="87"/>
      <c r="G56" s="87"/>
      <c r="H56" s="451"/>
      <c r="I56" s="451"/>
      <c r="J56" s="452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s="36" customFormat="1" ht="15.75" customHeight="1" x14ac:dyDescent="0.25">
      <c r="A57" s="37"/>
      <c r="B57" s="82"/>
      <c r="E57" s="87"/>
      <c r="F57" s="87"/>
      <c r="G57" s="87"/>
      <c r="J57" s="84"/>
      <c r="K57" s="435" t="s">
        <v>209</v>
      </c>
      <c r="L57" s="436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s="36" customFormat="1" ht="15.75" customHeight="1" x14ac:dyDescent="0.25">
      <c r="A58" s="37"/>
      <c r="B58" s="85"/>
      <c r="C58" s="86"/>
      <c r="D58" s="86"/>
      <c r="E58" s="88"/>
      <c r="F58" s="88"/>
      <c r="G58" s="88"/>
      <c r="H58" s="86"/>
      <c r="I58" s="86"/>
      <c r="J58" s="89"/>
      <c r="K58" s="161" t="s">
        <v>214</v>
      </c>
      <c r="L58" s="161" t="s">
        <v>213</v>
      </c>
      <c r="M58" s="158" t="s">
        <v>211</v>
      </c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s="36" customFormat="1" ht="15.75" customHeight="1" x14ac:dyDescent="0.25">
      <c r="A59" s="37"/>
      <c r="B59" s="408" t="s">
        <v>88</v>
      </c>
      <c r="C59" s="408"/>
      <c r="D59" s="408"/>
      <c r="E59" s="408" t="s">
        <v>89</v>
      </c>
      <c r="F59" s="408"/>
      <c r="G59" s="408"/>
      <c r="H59" s="69">
        <f>$E$26*2</f>
        <v>0</v>
      </c>
      <c r="I59" s="69">
        <f>$E$28-32</f>
        <v>-32</v>
      </c>
      <c r="J59" s="67" t="s">
        <v>128</v>
      </c>
      <c r="K59" s="69">
        <f>IF($H59&gt;0,$H59*$I59/1000*netti!$G$98,0)</f>
        <v>0</v>
      </c>
      <c r="L59" s="114">
        <f>IF($D$16="ALLUMINIO ANODIZZATO",$H59*$I59/1000*netti!$G$89,IF($D$16="RAL 9016 BIANCO OPACO",$H59*$I59/1000*netti!$I$89,IF($D$16="METAL GREY",$H59*$I59/1000*netti!$K$89,0)))</f>
        <v>0</v>
      </c>
      <c r="M59" s="162">
        <f>SUM(K59:L59)</f>
        <v>0</v>
      </c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s="36" customFormat="1" ht="15.75" customHeight="1" x14ac:dyDescent="0.25">
      <c r="A60" s="37"/>
      <c r="B60" s="82"/>
      <c r="E60" s="386"/>
      <c r="F60" s="386"/>
      <c r="G60" s="386"/>
      <c r="H60" s="69">
        <f>IF($F$26&lt;&gt;"",$F$26*2,0)</f>
        <v>0</v>
      </c>
      <c r="I60" s="69">
        <f>IF($F$28&lt;&gt;0,$F$28-32,0)</f>
        <v>0</v>
      </c>
      <c r="J60" s="67" t="s">
        <v>129</v>
      </c>
      <c r="K60" s="69">
        <f>IF($H60&gt;0,$H60*$I60/1000*netti!$G$98,0)</f>
        <v>0</v>
      </c>
      <c r="L60" s="114">
        <f>IF($D$16="ALLUMINIO ANODIZZATO",$H60*$I60/1000*netti!$G$89,IF($D$16="RAL 9016 BIANCO OPACO",$H60*$I60/1000*netti!$I$89,IF($D$16="METAL GREY",$H60*$I60/1000*netti!$K$89,0)))</f>
        <v>0</v>
      </c>
      <c r="M60" s="162">
        <f t="shared" ref="M60:M61" si="2">SUM(K60:L60)</f>
        <v>0</v>
      </c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s="36" customFormat="1" ht="15.75" customHeight="1" x14ac:dyDescent="0.25">
      <c r="A61" s="37"/>
      <c r="B61" s="82"/>
      <c r="E61" s="386"/>
      <c r="F61" s="386"/>
      <c r="G61" s="386"/>
      <c r="H61" s="69">
        <f>IF($G$26&lt;&gt;"",$G$26*2,0)</f>
        <v>0</v>
      </c>
      <c r="I61" s="69">
        <f>IF($G$28&lt;&gt;0,$G$28-32,0)</f>
        <v>0</v>
      </c>
      <c r="J61" s="67" t="s">
        <v>130</v>
      </c>
      <c r="K61" s="69">
        <f>IF($H61&gt;0,$H61*$I61/1000*netti!$G$98,0)</f>
        <v>0</v>
      </c>
      <c r="L61" s="114" t="b">
        <f>IF($D$16="ALLUMINIO ANODIZZATO",$H61*$I61/1000*netti!$G$89,IF($D$16="RAL 9016 BIANCO OPACO",$H61*$I61/1000*netti!$I$89,IF($D$16="METAL GREY",$H61*$I61/1000*netti!$K$89)))</f>
        <v>0</v>
      </c>
      <c r="M61" s="162">
        <f t="shared" si="2"/>
        <v>0</v>
      </c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s="36" customFormat="1" ht="15.75" customHeight="1" x14ac:dyDescent="0.25">
      <c r="A62" s="37"/>
      <c r="B62" s="82"/>
      <c r="E62" s="386"/>
      <c r="F62" s="386"/>
      <c r="G62" s="386"/>
      <c r="J62" s="84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s="36" customFormat="1" ht="15.75" customHeight="1" x14ac:dyDescent="0.25">
      <c r="A63" s="37"/>
      <c r="B63" s="82"/>
      <c r="E63" s="386"/>
      <c r="F63" s="386"/>
      <c r="G63" s="386"/>
      <c r="J63" s="84"/>
      <c r="K63" s="161" t="s">
        <v>214</v>
      </c>
      <c r="L63" s="161" t="s">
        <v>213</v>
      </c>
      <c r="M63" s="158" t="s">
        <v>211</v>
      </c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s="36" customFormat="1" ht="15.75" customHeight="1" x14ac:dyDescent="0.25">
      <c r="A64" s="37"/>
      <c r="B64" s="408" t="s">
        <v>90</v>
      </c>
      <c r="C64" s="408"/>
      <c r="D64" s="408"/>
      <c r="E64" s="408" t="s">
        <v>91</v>
      </c>
      <c r="F64" s="408"/>
      <c r="G64" s="408"/>
      <c r="H64" s="195">
        <f>IF($E$29&gt;0,$E$29*$E$26,0)</f>
        <v>0</v>
      </c>
      <c r="I64" s="69">
        <f>I59</f>
        <v>-32</v>
      </c>
      <c r="J64" s="67" t="s">
        <v>128</v>
      </c>
      <c r="K64" s="69">
        <f>IF($H64&gt;0,$H64*$I64/1000*2*netti!$G$98,0)</f>
        <v>0</v>
      </c>
      <c r="L64" s="114">
        <f>IF($D$16="ALLUMINIO ANODIZZATO",$H64*$I64/1000*netti!$G$90,IF($D$16="RAL 9016 BIANCO OPACO",$H64*$I64/1000*netti!$I$90,IF($D$16="METAL GREY",$H64*$I64/1000*netti!$K$90,0)))</f>
        <v>0</v>
      </c>
      <c r="M64" s="162">
        <f>SUM(K64:L64)</f>
        <v>0</v>
      </c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1:25" s="36" customFormat="1" ht="15.75" customHeight="1" x14ac:dyDescent="0.25">
      <c r="A65" s="37"/>
      <c r="B65" s="82"/>
      <c r="E65" s="386"/>
      <c r="F65" s="386"/>
      <c r="G65" s="386"/>
      <c r="H65" s="195">
        <f>IF($F$29&lt;&gt;"",$F$29*F26,"0")</f>
        <v>0</v>
      </c>
      <c r="I65" s="69">
        <f t="shared" ref="I65:I66" si="3">I60</f>
        <v>0</v>
      </c>
      <c r="J65" s="67" t="s">
        <v>129</v>
      </c>
      <c r="K65" s="69">
        <f>IF($H65&gt;0,$H65*$I65/1000*2*netti!$G$98,0)</f>
        <v>0</v>
      </c>
      <c r="L65" s="114">
        <f>IF($D$16="ALLUMINIO ANODIZZATO",$H65*$I65/1000*netti!$G$90,IF($D$16="RAL 9016 BIANCO OPACO",$H65*$I65/1000*netti!$I$90,IF($D$16="METAL GREY",$H65*$I65/1000*netti!$K$90,0)))</f>
        <v>0</v>
      </c>
      <c r="M65" s="162">
        <f t="shared" ref="M65:M66" si="4">SUM(K65:L65)</f>
        <v>0</v>
      </c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1:25" s="36" customFormat="1" ht="15.75" customHeight="1" x14ac:dyDescent="0.25">
      <c r="A66" s="37"/>
      <c r="B66" s="82"/>
      <c r="E66" s="386"/>
      <c r="F66" s="386"/>
      <c r="G66" s="386"/>
      <c r="H66" s="195">
        <f>IF($G$29&lt;&gt;"",$G$29*G26,"0")</f>
        <v>0</v>
      </c>
      <c r="I66" s="69">
        <f t="shared" si="3"/>
        <v>0</v>
      </c>
      <c r="J66" s="67" t="s">
        <v>130</v>
      </c>
      <c r="K66" s="69">
        <f>IF($H66&gt;0,$H66*$I66/1000*2*netti!$G$98,0)</f>
        <v>0</v>
      </c>
      <c r="L66" s="114">
        <f>IF($D$16="ALLUMINIO ANODIZZATO",$H66*$I66/1000*netti!$G$90,IF($D$16="RAL 9016 BIANCO OPACO",$H66*$I66/1000*netti!$I$90,IF($D$16="METAL GREY",$H66*$I66/1000*netti!$K$90,0)))</f>
        <v>0</v>
      </c>
      <c r="M66" s="162">
        <f t="shared" si="4"/>
        <v>0</v>
      </c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1:25" s="36" customFormat="1" ht="15.75" customHeight="1" x14ac:dyDescent="0.25">
      <c r="A67" s="37"/>
      <c r="B67" s="82"/>
      <c r="E67" s="386"/>
      <c r="F67" s="386"/>
      <c r="G67" s="386"/>
      <c r="J67" s="84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1:25" s="36" customFormat="1" ht="15.75" customHeight="1" x14ac:dyDescent="0.25">
      <c r="A68" s="37"/>
      <c r="B68" s="85"/>
      <c r="C68" s="86"/>
      <c r="D68" s="86"/>
      <c r="E68" s="433"/>
      <c r="F68" s="433"/>
      <c r="G68" s="433"/>
      <c r="H68" s="86"/>
      <c r="J68" s="84"/>
      <c r="K68" s="161" t="s">
        <v>214</v>
      </c>
      <c r="L68" s="161" t="s">
        <v>213</v>
      </c>
      <c r="M68" s="158" t="s">
        <v>211</v>
      </c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1:25" s="36" customFormat="1" ht="15.75" customHeight="1" x14ac:dyDescent="0.25">
      <c r="A69" s="37"/>
      <c r="B69" s="408" t="s">
        <v>92</v>
      </c>
      <c r="C69" s="408"/>
      <c r="D69" s="408"/>
      <c r="E69" s="408" t="s">
        <v>93</v>
      </c>
      <c r="F69" s="408"/>
      <c r="G69" s="408"/>
      <c r="H69" s="69">
        <f>$E$26*2</f>
        <v>0</v>
      </c>
      <c r="I69" s="69">
        <f>$E$27-24</f>
        <v>-24</v>
      </c>
      <c r="J69" s="67" t="s">
        <v>128</v>
      </c>
      <c r="K69" s="69">
        <f>IF($H69&gt;0,$H69*$I69/1000*netti!$G$98,0)</f>
        <v>0</v>
      </c>
      <c r="L69" s="114">
        <f>IF($D$16="ALLUMINIO ANODIZZATO",$H69*$I69/1000*netti!$G$96,IF($D$16="RAL 9016 BIANCO OPACO",$H69*$I69/1000*netti!$I$96,IF($D$16="METAL GREY",$H69*$I69/1000*netti!$K$96,0)))</f>
        <v>0</v>
      </c>
      <c r="M69" s="162">
        <f>SUM(K69:L69)</f>
        <v>0</v>
      </c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1:25" s="36" customFormat="1" ht="15.75" customHeight="1" x14ac:dyDescent="0.25">
      <c r="A70" s="37"/>
      <c r="B70" s="82"/>
      <c r="E70" s="386"/>
      <c r="F70" s="386"/>
      <c r="G70" s="386"/>
      <c r="H70" s="69">
        <f>IF($F$26&lt;&gt;"",$F$26*2,0)</f>
        <v>0</v>
      </c>
      <c r="I70" s="69">
        <f>IF(AND($F$26&lt;&gt;0,$F$27&lt;&gt;0),$F$27-24,IF(AND($F$26&lt;&gt;0,$F$27=0),$E$27-24,0))</f>
        <v>0</v>
      </c>
      <c r="J70" s="67" t="s">
        <v>129</v>
      </c>
      <c r="K70" s="69">
        <f>IF($H70&gt;0,$H70*$I70/1000*netti!$G$98,0)</f>
        <v>0</v>
      </c>
      <c r="L70" s="114">
        <f>IF($D$16="ALLUMINIO ANODIZZATO",$H70*$I70/1000*netti!$G$96,IF($D$16="RAL 9016 BIANCO OPACO",$H70*$I70/1000*netti!$I$96,IF($D$16="METAL GREY",$H70*$I70/1000*netti!$K$96,0)))</f>
        <v>0</v>
      </c>
      <c r="M70" s="162">
        <f t="shared" ref="M70:M71" si="5">SUM(K70:L70)</f>
        <v>0</v>
      </c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s="36" customFormat="1" ht="15.75" customHeight="1" x14ac:dyDescent="0.25">
      <c r="A71" s="37"/>
      <c r="B71" s="82"/>
      <c r="E71" s="386"/>
      <c r="F71" s="386"/>
      <c r="G71" s="386"/>
      <c r="H71" s="69">
        <f>IF($G$26&lt;&gt;"",$G$26*2,0)</f>
        <v>0</v>
      </c>
      <c r="I71" s="69">
        <f>IF(AND($G$26&lt;&gt;0,$G$27&lt;&gt;0),$G$27-24,IF(AND($G$26&lt;&gt;0,$G$27=0),$E$27-24,0))</f>
        <v>0</v>
      </c>
      <c r="J71" s="67" t="s">
        <v>130</v>
      </c>
      <c r="K71" s="69">
        <f>IF($H71&gt;0,$H71*$I71/1000*netti!$G$98,0)</f>
        <v>0</v>
      </c>
      <c r="L71" s="114">
        <f>IF($D$16="ALLUMINIO ANODIZZATO",$H71*$I71/1000*netti!$G$96,IF($D$16="RAL 9016 BIANCO OPACO",$H71*$I71/1000*netti!$I$96,IF($D$16="METAL GREY",$H71*$I71/1000*netti!$K$96,0)))</f>
        <v>0</v>
      </c>
      <c r="M71" s="162">
        <f t="shared" si="5"/>
        <v>0</v>
      </c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s="36" customFormat="1" ht="15.75" customHeight="1" x14ac:dyDescent="0.25">
      <c r="A72" s="37"/>
      <c r="B72" s="82"/>
      <c r="E72" s="386"/>
      <c r="F72" s="386"/>
      <c r="G72" s="386"/>
      <c r="J72" s="90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s="36" customFormat="1" ht="15.75" customHeight="1" x14ac:dyDescent="0.25">
      <c r="A73" s="37"/>
      <c r="B73" s="402" t="s">
        <v>94</v>
      </c>
      <c r="C73" s="403"/>
      <c r="D73" s="403"/>
      <c r="E73" s="403"/>
      <c r="F73" s="403"/>
      <c r="G73" s="403"/>
      <c r="H73" s="403"/>
      <c r="I73" s="403"/>
      <c r="J73" s="404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s="36" customFormat="1" ht="15.75" customHeight="1" x14ac:dyDescent="0.25">
      <c r="A74" s="37"/>
      <c r="B74" s="405"/>
      <c r="C74" s="406"/>
      <c r="D74" s="406"/>
      <c r="E74" s="406"/>
      <c r="F74" s="406"/>
      <c r="G74" s="406"/>
      <c r="H74" s="406"/>
      <c r="I74" s="406"/>
      <c r="J74" s="40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s="36" customFormat="1" ht="15.75" customHeight="1" x14ac:dyDescent="0.25">
      <c r="A75" s="37"/>
      <c r="B75" s="398" t="s">
        <v>80</v>
      </c>
      <c r="C75" s="398"/>
      <c r="D75" s="398"/>
      <c r="E75" s="399" t="s">
        <v>95</v>
      </c>
      <c r="F75" s="400"/>
      <c r="G75" s="400"/>
      <c r="H75" s="400"/>
      <c r="I75" s="401"/>
      <c r="J75" s="91" t="s">
        <v>81</v>
      </c>
      <c r="L75" s="32" t="s">
        <v>143</v>
      </c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s="36" customFormat="1" ht="15.75" customHeight="1" x14ac:dyDescent="0.25">
      <c r="A76" s="37"/>
      <c r="B76" s="379" t="s">
        <v>96</v>
      </c>
      <c r="C76" s="379"/>
      <c r="D76" s="379"/>
      <c r="E76" s="377" t="s">
        <v>97</v>
      </c>
      <c r="F76" s="378"/>
      <c r="G76" s="378"/>
      <c r="H76" s="378"/>
      <c r="I76" s="378"/>
      <c r="J76" s="69">
        <f>MODULO!$O$30</f>
        <v>0</v>
      </c>
      <c r="L76" s="114">
        <f>IF($D$16="ALLUMINIO ANODIZZATO",netti!$G$99,IF($D$16="RAL 9016 BIANCO OPACO",netti!$I$99,IF($D$16="METAL GREY",netti!$K$99,0)))</f>
        <v>0</v>
      </c>
      <c r="M76" s="160">
        <f>L76*J76</f>
        <v>0</v>
      </c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s="36" customFormat="1" ht="15.75" customHeight="1" x14ac:dyDescent="0.25">
      <c r="A77" s="37"/>
      <c r="B77" s="379" t="s">
        <v>98</v>
      </c>
      <c r="C77" s="379"/>
      <c r="D77" s="379"/>
      <c r="E77" s="377" t="s">
        <v>99</v>
      </c>
      <c r="F77" s="378"/>
      <c r="G77" s="378"/>
      <c r="H77" s="378"/>
      <c r="I77" s="378"/>
      <c r="J77" s="69">
        <f>$G$15+$D$15</f>
        <v>0</v>
      </c>
      <c r="L77" s="114">
        <f>IF($J77&gt;0,netti!$G$101,0)</f>
        <v>0</v>
      </c>
      <c r="M77" s="160">
        <f t="shared" ref="M77:M84" si="6">L77*J77</f>
        <v>0</v>
      </c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s="36" customFormat="1" ht="15.75" customHeight="1" x14ac:dyDescent="0.25">
      <c r="A78" s="37"/>
      <c r="B78" s="379" t="s">
        <v>100</v>
      </c>
      <c r="C78" s="379"/>
      <c r="D78" s="379"/>
      <c r="E78" s="375" t="s">
        <v>101</v>
      </c>
      <c r="F78" s="376"/>
      <c r="G78" s="376"/>
      <c r="H78" s="376"/>
      <c r="I78" s="376"/>
      <c r="J78" s="69">
        <f>$G$15+$D$15</f>
        <v>0</v>
      </c>
      <c r="L78" s="114">
        <f>IF($J78&gt;0,netti!$G$100,0)</f>
        <v>0</v>
      </c>
      <c r="M78" s="160">
        <f t="shared" si="6"/>
        <v>0</v>
      </c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s="36" customFormat="1" ht="15.75" customHeight="1" x14ac:dyDescent="0.25">
      <c r="A79" s="37"/>
      <c r="B79" s="379" t="s">
        <v>102</v>
      </c>
      <c r="C79" s="379"/>
      <c r="D79" s="379"/>
      <c r="E79" s="375" t="s">
        <v>103</v>
      </c>
      <c r="F79" s="376"/>
      <c r="G79" s="376"/>
      <c r="H79" s="376"/>
      <c r="I79" s="376"/>
      <c r="J79" s="69">
        <f>$G$15+($D$15*2)</f>
        <v>0</v>
      </c>
      <c r="L79" s="114">
        <f>IF($J79&gt;0,netti!$G$102,0)</f>
        <v>0</v>
      </c>
      <c r="M79" s="160">
        <f t="shared" si="6"/>
        <v>0</v>
      </c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s="36" customFormat="1" ht="15.75" customHeight="1" x14ac:dyDescent="0.25">
      <c r="A80" s="37"/>
      <c r="B80" s="379" t="s">
        <v>104</v>
      </c>
      <c r="C80" s="379"/>
      <c r="D80" s="379"/>
      <c r="E80" s="375" t="s">
        <v>225</v>
      </c>
      <c r="F80" s="376"/>
      <c r="G80" s="376"/>
      <c r="H80" s="376"/>
      <c r="I80" s="376"/>
      <c r="J80" s="69">
        <f>$G$15+$D$15</f>
        <v>0</v>
      </c>
      <c r="L80" s="114">
        <f>IF($D$16="ALLUMINIO ANODIZZATO",netti!$G$97,IF($D$16="RAL 9016 BIANCO OPACO",netti!$I$97,IF($D$16="METAL GREY",netti!$K$97,0)))</f>
        <v>0</v>
      </c>
      <c r="M80" s="160">
        <f t="shared" si="6"/>
        <v>0</v>
      </c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s="36" customFormat="1" ht="15.75" customHeight="1" x14ac:dyDescent="0.25">
      <c r="A81" s="37"/>
      <c r="B81" s="379" t="s">
        <v>105</v>
      </c>
      <c r="C81" s="379"/>
      <c r="D81" s="379"/>
      <c r="E81" s="377" t="s">
        <v>106</v>
      </c>
      <c r="F81" s="378"/>
      <c r="G81" s="378"/>
      <c r="H81" s="378"/>
      <c r="I81" s="378"/>
      <c r="J81" s="69">
        <f>SUM(H64:H66)*4</f>
        <v>0</v>
      </c>
      <c r="L81" s="114">
        <f>IF($J81&gt;0,netti!$G$91,0)</f>
        <v>0</v>
      </c>
      <c r="M81" s="160">
        <f t="shared" si="6"/>
        <v>0</v>
      </c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s="36" customFormat="1" ht="15.75" customHeight="1" x14ac:dyDescent="0.25">
      <c r="A82" s="37"/>
      <c r="B82" s="380"/>
      <c r="C82" s="380"/>
      <c r="D82" s="380"/>
      <c r="E82" s="380"/>
      <c r="F82" s="380"/>
      <c r="G82" s="380"/>
      <c r="H82" s="380"/>
      <c r="I82" s="380"/>
      <c r="J82" s="380"/>
      <c r="L82" s="37"/>
      <c r="M82" s="189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s="36" customFormat="1" ht="15.75" customHeight="1" x14ac:dyDescent="0.25">
      <c r="A83" s="37"/>
      <c r="B83" s="379" t="s">
        <v>107</v>
      </c>
      <c r="C83" s="379"/>
      <c r="D83" s="379"/>
      <c r="E83" s="377" t="s">
        <v>108</v>
      </c>
      <c r="F83" s="378"/>
      <c r="G83" s="378"/>
      <c r="H83" s="378"/>
      <c r="I83" s="389"/>
      <c r="J83" s="69" t="str">
        <f>IF(MODULO!$O$28="SI",$G$15*2,"0")</f>
        <v>0</v>
      </c>
      <c r="L83" s="114">
        <f>IF($J83&gt;0,netti!$G$106,0)</f>
        <v>37.5732</v>
      </c>
      <c r="M83" s="160">
        <f t="shared" si="6"/>
        <v>0</v>
      </c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s="36" customFormat="1" ht="15.75" customHeight="1" x14ac:dyDescent="0.25">
      <c r="A84" s="37"/>
      <c r="B84" s="379" t="s">
        <v>109</v>
      </c>
      <c r="C84" s="379"/>
      <c r="D84" s="379"/>
      <c r="E84" s="377" t="s">
        <v>110</v>
      </c>
      <c r="F84" s="378"/>
      <c r="G84" s="378"/>
      <c r="H84" s="378"/>
      <c r="I84" s="389"/>
      <c r="J84" s="69" t="str">
        <f>IF(MODULO!$O$28="NO",$D$15+$G$15*2,IF(MODULO!$O$28="SI",$D$15*2,"0"))</f>
        <v>0</v>
      </c>
      <c r="L84" s="114">
        <f>IF($J84&gt;0,netti!$G$104,0)</f>
        <v>8.1756000000000011</v>
      </c>
      <c r="M84" s="160">
        <f t="shared" si="6"/>
        <v>0</v>
      </c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s="36" customFormat="1" ht="15.75" customHeight="1" x14ac:dyDescent="0.25">
      <c r="A85" s="37"/>
      <c r="B85" s="379" t="s">
        <v>132</v>
      </c>
      <c r="C85" s="379"/>
      <c r="D85" s="379"/>
      <c r="E85" s="92">
        <f>MODULO!O$32</f>
        <v>0</v>
      </c>
      <c r="F85" s="381" t="s">
        <v>133</v>
      </c>
      <c r="G85" s="381"/>
      <c r="H85" s="381"/>
      <c r="I85" s="382"/>
      <c r="J85" s="67">
        <f>MODULO!O$34</f>
        <v>0</v>
      </c>
      <c r="K85" s="163">
        <f>SUM(E85+J85)</f>
        <v>0</v>
      </c>
      <c r="L85" s="114">
        <f>IF($K85&gt;0,netti!$G$103,0)</f>
        <v>0</v>
      </c>
      <c r="M85" s="209">
        <f>L85*K85</f>
        <v>0</v>
      </c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s="36" customFormat="1" ht="15.75" customHeight="1" x14ac:dyDescent="0.25">
      <c r="A86" s="37"/>
      <c r="B86" s="383"/>
      <c r="C86" s="384"/>
      <c r="D86" s="384"/>
      <c r="E86" s="384"/>
      <c r="F86" s="384"/>
      <c r="G86" s="384"/>
      <c r="H86" s="384"/>
      <c r="I86" s="384"/>
      <c r="J86" s="38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s="36" customFormat="1" ht="15.75" customHeight="1" x14ac:dyDescent="0.25">
      <c r="A87" s="37"/>
      <c r="B87" s="385"/>
      <c r="C87" s="386"/>
      <c r="D87" s="386"/>
      <c r="E87" s="386"/>
      <c r="F87" s="386"/>
      <c r="G87" s="386"/>
      <c r="H87" s="386"/>
      <c r="I87" s="386"/>
      <c r="J87" s="388"/>
      <c r="K87" s="197">
        <f>SUM(H64:H66)-SUM(E26:H26)</f>
        <v>0</v>
      </c>
      <c r="L87" s="193" t="s">
        <v>227</v>
      </c>
      <c r="M87" s="194">
        <f>IF(E29&gt;1,K87*15,0)</f>
        <v>0</v>
      </c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s="36" customFormat="1" ht="15.75" customHeight="1" x14ac:dyDescent="0.25">
      <c r="A88" s="37"/>
      <c r="B88" s="385"/>
      <c r="C88" s="386"/>
      <c r="D88" s="386"/>
      <c r="E88" s="386"/>
      <c r="F88" s="386"/>
      <c r="G88" s="386"/>
      <c r="H88" s="386"/>
      <c r="I88" s="386"/>
      <c r="J88" s="388"/>
      <c r="K88" s="31">
        <f>SUM(E26:H26)</f>
        <v>0</v>
      </c>
      <c r="L88" s="193" t="s">
        <v>220</v>
      </c>
      <c r="M88" s="35">
        <f>IF($I$32="MONTATE",SUM(K88*50),0)</f>
        <v>0</v>
      </c>
      <c r="N88" s="37" t="s">
        <v>228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s="36" customFormat="1" ht="15.75" customHeight="1" x14ac:dyDescent="0.25">
      <c r="A89" s="37"/>
      <c r="B89" s="385"/>
      <c r="C89" s="386"/>
      <c r="D89" s="386"/>
      <c r="E89" s="386"/>
      <c r="F89" s="386"/>
      <c r="G89" s="386"/>
      <c r="H89" s="386"/>
      <c r="I89" s="386"/>
      <c r="J89" s="388"/>
      <c r="K89" s="31">
        <f>SUM(E26:H26)</f>
        <v>0</v>
      </c>
      <c r="L89" s="190" t="s">
        <v>222</v>
      </c>
      <c r="M89" s="35">
        <f>SUM(K89*50)</f>
        <v>0</v>
      </c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s="36" customFormat="1" ht="15.75" customHeight="1" x14ac:dyDescent="0.3">
      <c r="A90" s="37"/>
      <c r="B90" s="385"/>
      <c r="C90" s="386"/>
      <c r="D90" s="386"/>
      <c r="E90" s="386"/>
      <c r="F90" s="386"/>
      <c r="G90" s="386"/>
      <c r="H90" s="386"/>
      <c r="I90" s="386"/>
      <c r="J90" s="388"/>
      <c r="K90" s="31" t="s">
        <v>221</v>
      </c>
      <c r="L90" s="158" t="s">
        <v>211</v>
      </c>
      <c r="M90" s="192">
        <f>SUM($M$83:$M$85,$M$76:$M$81,$M$69:$M$71,$M$64:$M$66,$M$59:$M$61,$M$49:$M$51,$M$44,$M$37,$M$87,$M$88,$M$89,$L$30,$M$47)</f>
        <v>0</v>
      </c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s="36" customFormat="1" ht="15.75" customHeight="1" x14ac:dyDescent="0.25">
      <c r="A91" s="37"/>
      <c r="B91" s="385"/>
      <c r="C91" s="386"/>
      <c r="D91" s="386"/>
      <c r="E91" s="386"/>
      <c r="F91" s="386"/>
      <c r="G91" s="386"/>
      <c r="H91" s="386"/>
      <c r="I91" s="386"/>
      <c r="J91" s="388"/>
      <c r="K91" s="367" t="s">
        <v>237</v>
      </c>
      <c r="L91" s="368"/>
      <c r="M91" s="368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s="36" customFormat="1" ht="15.75" customHeight="1" x14ac:dyDescent="0.25">
      <c r="A92" s="37"/>
      <c r="B92" s="385"/>
      <c r="C92" s="386"/>
      <c r="D92" s="386"/>
      <c r="E92" s="386"/>
      <c r="F92" s="386"/>
      <c r="G92" s="386"/>
      <c r="H92" s="386"/>
      <c r="I92" s="386"/>
      <c r="J92" s="388"/>
      <c r="K92" s="33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s="36" customFormat="1" ht="15.75" customHeight="1" x14ac:dyDescent="0.25">
      <c r="A93" s="37"/>
      <c r="B93" s="369"/>
      <c r="C93" s="371"/>
      <c r="D93" s="371"/>
      <c r="E93" s="371"/>
      <c r="F93" s="371"/>
      <c r="G93" s="371"/>
      <c r="H93" s="371"/>
      <c r="I93" s="371"/>
      <c r="J93" s="372"/>
      <c r="K93" s="33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s="36" customFormat="1" ht="15.75" customHeight="1" x14ac:dyDescent="0.25">
      <c r="A94" s="37"/>
      <c r="B94" s="369"/>
      <c r="C94" s="371"/>
      <c r="D94" s="371"/>
      <c r="E94" s="371"/>
      <c r="F94" s="371"/>
      <c r="G94" s="371"/>
      <c r="H94" s="371"/>
      <c r="I94" s="371"/>
      <c r="J94" s="372"/>
      <c r="K94" s="33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s="36" customFormat="1" ht="15.75" customHeight="1" x14ac:dyDescent="0.25">
      <c r="A95" s="37"/>
      <c r="B95" s="370"/>
      <c r="C95" s="373"/>
      <c r="D95" s="373"/>
      <c r="E95" s="373"/>
      <c r="F95" s="373"/>
      <c r="G95" s="373"/>
      <c r="H95" s="373"/>
      <c r="I95" s="373"/>
      <c r="J95" s="374"/>
      <c r="K95" s="33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1:25" s="36" customFormat="1" ht="15.75" customHeight="1" x14ac:dyDescent="0.25">
      <c r="A96" s="3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1:25" s="36" customFormat="1" ht="15.75" customHeight="1" x14ac:dyDescent="0.25">
      <c r="A97" s="3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1:25" s="36" customFormat="1" ht="15.75" customHeight="1" x14ac:dyDescent="0.25">
      <c r="A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1:25" s="36" customFormat="1" ht="15.75" customHeight="1" x14ac:dyDescent="0.25">
      <c r="A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1:25" s="36" customFormat="1" ht="15.75" customHeight="1" x14ac:dyDescent="0.25">
      <c r="A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1:25" s="36" customFormat="1" ht="15.75" customHeight="1" x14ac:dyDescent="0.25">
      <c r="A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1:25" s="36" customFormat="1" ht="15.75" customHeight="1" x14ac:dyDescent="0.25">
      <c r="A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s="36" customFormat="1" ht="15.75" customHeight="1" x14ac:dyDescent="0.25">
      <c r="A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1:25" s="36" customFormat="1" ht="15.75" customHeight="1" x14ac:dyDescent="0.25">
      <c r="A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1:25" s="36" customFormat="1" ht="15.75" customHeight="1" x14ac:dyDescent="0.25">
      <c r="A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1:25" s="36" customFormat="1" ht="15.75" customHeight="1" x14ac:dyDescent="0.25">
      <c r="A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1:25" s="36" customFormat="1" ht="15.75" customHeight="1" x14ac:dyDescent="0.25">
      <c r="A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1:25" s="36" customFormat="1" ht="15.75" customHeight="1" x14ac:dyDescent="0.25">
      <c r="A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1:25" s="36" customFormat="1" ht="15.75" customHeight="1" x14ac:dyDescent="0.25">
      <c r="A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1:25" s="36" customFormat="1" ht="15.75" customHeight="1" x14ac:dyDescent="0.25">
      <c r="A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  <row r="111" spans="1:25" s="36" customFormat="1" ht="15.75" customHeight="1" x14ac:dyDescent="0.25">
      <c r="A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</row>
    <row r="112" spans="1:25" s="36" customFormat="1" ht="15.75" customHeight="1" x14ac:dyDescent="0.25">
      <c r="A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s="36" customFormat="1" ht="15.75" customHeight="1" x14ac:dyDescent="0.25">
      <c r="A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</row>
    <row r="114" spans="1:25" s="36" customFormat="1" ht="15.75" customHeight="1" x14ac:dyDescent="0.25">
      <c r="A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</row>
    <row r="115" spans="1:25" s="36" customFormat="1" ht="15.75" customHeight="1" x14ac:dyDescent="0.25">
      <c r="A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</row>
    <row r="116" spans="1:25" s="36" customFormat="1" ht="15.75" customHeight="1" x14ac:dyDescent="0.25">
      <c r="A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s="36" customFormat="1" ht="15.75" customHeight="1" x14ac:dyDescent="0.25">
      <c r="A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s="36" customFormat="1" ht="15.75" customHeight="1" x14ac:dyDescent="0.25">
      <c r="A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s="36" customFormat="1" ht="15.75" customHeight="1" x14ac:dyDescent="0.25">
      <c r="A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s="36" customFormat="1" ht="15.75" customHeight="1" x14ac:dyDescent="0.25">
      <c r="A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s="36" customFormat="1" ht="15.75" customHeight="1" x14ac:dyDescent="0.25">
      <c r="A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s="36" customFormat="1" ht="15.75" customHeight="1" x14ac:dyDescent="0.25">
      <c r="A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s="36" customFormat="1" ht="15.75" customHeight="1" x14ac:dyDescent="0.25">
      <c r="A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s="36" customFormat="1" ht="15.75" customHeight="1" x14ac:dyDescent="0.25">
      <c r="A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s="36" customFormat="1" ht="15.75" customHeight="1" x14ac:dyDescent="0.25">
      <c r="A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s="36" customFormat="1" ht="15.75" customHeight="1" x14ac:dyDescent="0.25">
      <c r="A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s="36" customFormat="1" ht="15.75" customHeight="1" x14ac:dyDescent="0.25">
      <c r="A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s="36" customFormat="1" ht="15.75" customHeight="1" x14ac:dyDescent="0.25">
      <c r="A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41" s="36" customFormat="1" ht="15.75" customHeight="1" x14ac:dyDescent="0.25">
      <c r="A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41" s="36" customFormat="1" ht="15.75" customHeight="1" x14ac:dyDescent="0.25">
      <c r="A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41" s="36" customFormat="1" ht="15.75" customHeight="1" x14ac:dyDescent="0.25">
      <c r="A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41" s="36" customFormat="1" ht="15.75" customHeight="1" x14ac:dyDescent="0.25">
      <c r="A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41" s="36" customFormat="1" ht="13.8" x14ac:dyDescent="0.25">
      <c r="A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41" s="36" customFormat="1" ht="13.8" x14ac:dyDescent="0.25">
      <c r="A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41" x14ac:dyDescent="0.3">
      <c r="A135" s="3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</row>
    <row r="136" spans="1:41" x14ac:dyDescent="0.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</row>
    <row r="137" spans="1:41" x14ac:dyDescent="0.3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</row>
    <row r="138" spans="1:41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</row>
    <row r="139" spans="1:41" x14ac:dyDescent="0.3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</row>
    <row r="140" spans="1:41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</row>
    <row r="141" spans="1:41" x14ac:dyDescent="0.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1:41" x14ac:dyDescent="0.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1:41" x14ac:dyDescent="0.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41" x14ac:dyDescent="0.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x14ac:dyDescent="0.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x14ac:dyDescent="0.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1:24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1:24" x14ac:dyDescent="0.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1:24" x14ac:dyDescent="0.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1:24" x14ac:dyDescent="0.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1:24" x14ac:dyDescent="0.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1:24" x14ac:dyDescent="0.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1:24" x14ac:dyDescent="0.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1:24" x14ac:dyDescent="0.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1:24" x14ac:dyDescent="0.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1:24" x14ac:dyDescent="0.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1:24" x14ac:dyDescent="0.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1:24" x14ac:dyDescent="0.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1:24" x14ac:dyDescent="0.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1:24" x14ac:dyDescent="0.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1:24" x14ac:dyDescent="0.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1:24" x14ac:dyDescent="0.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1:24" x14ac:dyDescent="0.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1:24" x14ac:dyDescent="0.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1:24" x14ac:dyDescent="0.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1:24" x14ac:dyDescent="0.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1:24" x14ac:dyDescent="0.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1:24" x14ac:dyDescent="0.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1:24" x14ac:dyDescent="0.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1:24" x14ac:dyDescent="0.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1:24" x14ac:dyDescent="0.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1:24" x14ac:dyDescent="0.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spans="1:24" x14ac:dyDescent="0.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spans="1:24" x14ac:dyDescent="0.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</row>
    <row r="175" spans="1:24" x14ac:dyDescent="0.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spans="1:24" x14ac:dyDescent="0.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 spans="1:24" x14ac:dyDescent="0.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</row>
    <row r="178" spans="1:24" x14ac:dyDescent="0.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</row>
    <row r="179" spans="1:24" x14ac:dyDescent="0.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</row>
    <row r="180" spans="1:24" x14ac:dyDescent="0.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spans="1:24" x14ac:dyDescent="0.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</row>
    <row r="182" spans="1:24" x14ac:dyDescent="0.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</row>
    <row r="183" spans="1:24" x14ac:dyDescent="0.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spans="1:24" x14ac:dyDescent="0.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spans="1:24" x14ac:dyDescent="0.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spans="1:24" x14ac:dyDescent="0.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spans="1:24" x14ac:dyDescent="0.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</row>
    <row r="188" spans="1:24" x14ac:dyDescent="0.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spans="1:24" x14ac:dyDescent="0.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 spans="1:24" x14ac:dyDescent="0.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</row>
    <row r="191" spans="1:24" x14ac:dyDescent="0.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spans="1:24" x14ac:dyDescent="0.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spans="1:24" x14ac:dyDescent="0.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spans="1:24" x14ac:dyDescent="0.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spans="1:24" x14ac:dyDescent="0.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</row>
    <row r="196" spans="1:24" x14ac:dyDescent="0.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spans="1:24" x14ac:dyDescent="0.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 spans="1:24" x14ac:dyDescent="0.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spans="1:24" x14ac:dyDescent="0.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</sheetData>
  <sheetProtection algorithmName="SHA-512" hashValue="DXgk5bWkpIeggiMOgp3XPd7hK4FL0n9EUM8VGUhqqiGwGxOXUIvS8+ZLkeq1lwWy5Otik2TMSxxSUyf8Fnr0Ow==" saltValue="gRe0odEITFb7/XUV9pAHgg==" spinCount="100000" sheet="1" objects="1" scenarios="1" selectLockedCells="1"/>
  <protectedRanges>
    <protectedRange sqref="C26:C30 J34:J36 E38:F41 H38:K40 K26:K37" name="Intervallo1" securityDescriptor="O:WDG:WDD:(A;;CC;;;AN)"/>
  </protectedRanges>
  <mergeCells count="99">
    <mergeCell ref="I12:J13"/>
    <mergeCell ref="B10:B11"/>
    <mergeCell ref="C10:J11"/>
    <mergeCell ref="H53:J56"/>
    <mergeCell ref="P24:Q24"/>
    <mergeCell ref="G27:H27"/>
    <mergeCell ref="B15:C15"/>
    <mergeCell ref="B32:C32"/>
    <mergeCell ref="B16:C16"/>
    <mergeCell ref="D16:G16"/>
    <mergeCell ref="B38:C40"/>
    <mergeCell ref="B27:D27"/>
    <mergeCell ref="B28:D28"/>
    <mergeCell ref="B29:D29"/>
    <mergeCell ref="B30:D30"/>
    <mergeCell ref="J45:J48"/>
    <mergeCell ref="K57:L57"/>
    <mergeCell ref="E76:I76"/>
    <mergeCell ref="E84:I84"/>
    <mergeCell ref="I32:J32"/>
    <mergeCell ref="G28:H28"/>
    <mergeCell ref="G29:H29"/>
    <mergeCell ref="G30:H30"/>
    <mergeCell ref="E70:G72"/>
    <mergeCell ref="H42:H43"/>
    <mergeCell ref="F38:F40"/>
    <mergeCell ref="G38:H38"/>
    <mergeCell ref="G39:H39"/>
    <mergeCell ref="G40:H40"/>
    <mergeCell ref="D32:G32"/>
    <mergeCell ref="B42:D43"/>
    <mergeCell ref="E42:G43"/>
    <mergeCell ref="B84:D84"/>
    <mergeCell ref="B77:D77"/>
    <mergeCell ref="B78:D78"/>
    <mergeCell ref="E77:I77"/>
    <mergeCell ref="E78:I78"/>
    <mergeCell ref="E69:G69"/>
    <mergeCell ref="B44:D44"/>
    <mergeCell ref="E44:G44"/>
    <mergeCell ref="E45:G48"/>
    <mergeCell ref="B50:D50"/>
    <mergeCell ref="E50:G50"/>
    <mergeCell ref="E60:G63"/>
    <mergeCell ref="B64:D64"/>
    <mergeCell ref="E64:G64"/>
    <mergeCell ref="B51:D51"/>
    <mergeCell ref="E51:G51"/>
    <mergeCell ref="B49:D49"/>
    <mergeCell ref="E49:G49"/>
    <mergeCell ref="E65:G68"/>
    <mergeCell ref="D7:H7"/>
    <mergeCell ref="B1:K1"/>
    <mergeCell ref="B2:K4"/>
    <mergeCell ref="F12:G12"/>
    <mergeCell ref="G26:H26"/>
    <mergeCell ref="B7:C7"/>
    <mergeCell ref="B25:D25"/>
    <mergeCell ref="B26:D26"/>
    <mergeCell ref="B17:J24"/>
    <mergeCell ref="D8:J8"/>
    <mergeCell ref="H9:J9"/>
    <mergeCell ref="B13:C13"/>
    <mergeCell ref="B8:C8"/>
    <mergeCell ref="G25:H25"/>
    <mergeCell ref="D13:G13"/>
    <mergeCell ref="E15:F15"/>
    <mergeCell ref="B86:E92"/>
    <mergeCell ref="F86:J92"/>
    <mergeCell ref="E83:I83"/>
    <mergeCell ref="C33:G33"/>
    <mergeCell ref="I33:J33"/>
    <mergeCell ref="B34:C34"/>
    <mergeCell ref="B76:D76"/>
    <mergeCell ref="I42:I43"/>
    <mergeCell ref="J42:J43"/>
    <mergeCell ref="B75:D75"/>
    <mergeCell ref="E52:G55"/>
    <mergeCell ref="E75:I75"/>
    <mergeCell ref="B73:J74"/>
    <mergeCell ref="B59:D59"/>
    <mergeCell ref="E59:G59"/>
    <mergeCell ref="B69:D69"/>
    <mergeCell ref="B9:F9"/>
    <mergeCell ref="I14:J16"/>
    <mergeCell ref="K91:M91"/>
    <mergeCell ref="B93:B95"/>
    <mergeCell ref="C93:J95"/>
    <mergeCell ref="E79:I79"/>
    <mergeCell ref="E80:I80"/>
    <mergeCell ref="E81:I81"/>
    <mergeCell ref="B85:D85"/>
    <mergeCell ref="B83:D83"/>
    <mergeCell ref="B79:D79"/>
    <mergeCell ref="B80:D80"/>
    <mergeCell ref="B81:D81"/>
    <mergeCell ref="B82:D82"/>
    <mergeCell ref="E82:J82"/>
    <mergeCell ref="F85:I85"/>
  </mergeCells>
  <phoneticPr fontId="43" type="noConversion"/>
  <conditionalFormatting sqref="H53:J56">
    <cfRule type="expression" dxfId="0" priority="1">
      <formula>$H$53&lt;&gt;""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529E-4618-48E7-AABD-12ECE1DE3A57}">
  <sheetPr codeName="Foglio4">
    <pageSetUpPr fitToPage="1"/>
  </sheetPr>
  <dimension ref="A1:R119"/>
  <sheetViews>
    <sheetView showGridLines="0" showRowColHeaders="0" view="pageBreakPreview" topLeftCell="A120" zoomScaleNormal="100" zoomScaleSheetLayoutView="100" workbookViewId="0">
      <selection activeCell="O175" sqref="O175"/>
    </sheetView>
  </sheetViews>
  <sheetFormatPr defaultRowHeight="14.4" x14ac:dyDescent="0.3"/>
  <cols>
    <col min="1" max="1" width="10.6640625" customWidth="1"/>
    <col min="4" max="4" width="28.88671875" customWidth="1"/>
    <col min="5" max="6" width="10.6640625" customWidth="1"/>
    <col min="7" max="7" width="14.6640625" customWidth="1"/>
    <col min="8" max="8" width="10.6640625" customWidth="1"/>
    <col min="9" max="9" width="14.6640625" customWidth="1"/>
    <col min="10" max="10" width="10.6640625" customWidth="1"/>
    <col min="11" max="11" width="14.6640625" customWidth="1"/>
    <col min="257" max="257" width="9.44140625" bestFit="1" customWidth="1"/>
    <col min="260" max="260" width="9.88671875" customWidth="1"/>
    <col min="261" max="261" width="9.44140625" bestFit="1" customWidth="1"/>
    <col min="513" max="513" width="9.44140625" bestFit="1" customWidth="1"/>
    <col min="516" max="516" width="9.88671875" customWidth="1"/>
    <col min="517" max="517" width="9.44140625" bestFit="1" customWidth="1"/>
    <col min="769" max="769" width="9.44140625" bestFit="1" customWidth="1"/>
    <col min="772" max="772" width="9.88671875" customWidth="1"/>
    <col min="773" max="773" width="9.44140625" bestFit="1" customWidth="1"/>
    <col min="1025" max="1025" width="9.44140625" bestFit="1" customWidth="1"/>
    <col min="1028" max="1028" width="9.88671875" customWidth="1"/>
    <col min="1029" max="1029" width="9.44140625" bestFit="1" customWidth="1"/>
    <col min="1281" max="1281" width="9.44140625" bestFit="1" customWidth="1"/>
    <col min="1284" max="1284" width="9.88671875" customWidth="1"/>
    <col min="1285" max="1285" width="9.44140625" bestFit="1" customWidth="1"/>
    <col min="1537" max="1537" width="9.44140625" bestFit="1" customWidth="1"/>
    <col min="1540" max="1540" width="9.88671875" customWidth="1"/>
    <col min="1541" max="1541" width="9.44140625" bestFit="1" customWidth="1"/>
    <col min="1793" max="1793" width="9.44140625" bestFit="1" customWidth="1"/>
    <col min="1796" max="1796" width="9.88671875" customWidth="1"/>
    <col min="1797" max="1797" width="9.44140625" bestFit="1" customWidth="1"/>
    <col min="2049" max="2049" width="9.44140625" bestFit="1" customWidth="1"/>
    <col min="2052" max="2052" width="9.88671875" customWidth="1"/>
    <col min="2053" max="2053" width="9.44140625" bestFit="1" customWidth="1"/>
    <col min="2305" max="2305" width="9.44140625" bestFit="1" customWidth="1"/>
    <col min="2308" max="2308" width="9.88671875" customWidth="1"/>
    <col min="2309" max="2309" width="9.44140625" bestFit="1" customWidth="1"/>
    <col min="2561" max="2561" width="9.44140625" bestFit="1" customWidth="1"/>
    <col min="2564" max="2564" width="9.88671875" customWidth="1"/>
    <col min="2565" max="2565" width="9.44140625" bestFit="1" customWidth="1"/>
    <col min="2817" max="2817" width="9.44140625" bestFit="1" customWidth="1"/>
    <col min="2820" max="2820" width="9.88671875" customWidth="1"/>
    <col min="2821" max="2821" width="9.44140625" bestFit="1" customWidth="1"/>
    <col min="3073" max="3073" width="9.44140625" bestFit="1" customWidth="1"/>
    <col min="3076" max="3076" width="9.88671875" customWidth="1"/>
    <col min="3077" max="3077" width="9.44140625" bestFit="1" customWidth="1"/>
    <col min="3329" max="3329" width="9.44140625" bestFit="1" customWidth="1"/>
    <col min="3332" max="3332" width="9.88671875" customWidth="1"/>
    <col min="3333" max="3333" width="9.44140625" bestFit="1" customWidth="1"/>
    <col min="3585" max="3585" width="9.44140625" bestFit="1" customWidth="1"/>
    <col min="3588" max="3588" width="9.88671875" customWidth="1"/>
    <col min="3589" max="3589" width="9.44140625" bestFit="1" customWidth="1"/>
    <col min="3841" max="3841" width="9.44140625" bestFit="1" customWidth="1"/>
    <col min="3844" max="3844" width="9.88671875" customWidth="1"/>
    <col min="3845" max="3845" width="9.44140625" bestFit="1" customWidth="1"/>
    <col min="4097" max="4097" width="9.44140625" bestFit="1" customWidth="1"/>
    <col min="4100" max="4100" width="9.88671875" customWidth="1"/>
    <col min="4101" max="4101" width="9.44140625" bestFit="1" customWidth="1"/>
    <col min="4353" max="4353" width="9.44140625" bestFit="1" customWidth="1"/>
    <col min="4356" max="4356" width="9.88671875" customWidth="1"/>
    <col min="4357" max="4357" width="9.44140625" bestFit="1" customWidth="1"/>
    <col min="4609" max="4609" width="9.44140625" bestFit="1" customWidth="1"/>
    <col min="4612" max="4612" width="9.88671875" customWidth="1"/>
    <col min="4613" max="4613" width="9.44140625" bestFit="1" customWidth="1"/>
    <col min="4865" max="4865" width="9.44140625" bestFit="1" customWidth="1"/>
    <col min="4868" max="4868" width="9.88671875" customWidth="1"/>
    <col min="4869" max="4869" width="9.44140625" bestFit="1" customWidth="1"/>
    <col min="5121" max="5121" width="9.44140625" bestFit="1" customWidth="1"/>
    <col min="5124" max="5124" width="9.88671875" customWidth="1"/>
    <col min="5125" max="5125" width="9.44140625" bestFit="1" customWidth="1"/>
    <col min="5377" max="5377" width="9.44140625" bestFit="1" customWidth="1"/>
    <col min="5380" max="5380" width="9.88671875" customWidth="1"/>
    <col min="5381" max="5381" width="9.44140625" bestFit="1" customWidth="1"/>
    <col min="5633" max="5633" width="9.44140625" bestFit="1" customWidth="1"/>
    <col min="5636" max="5636" width="9.88671875" customWidth="1"/>
    <col min="5637" max="5637" width="9.44140625" bestFit="1" customWidth="1"/>
    <col min="5889" max="5889" width="9.44140625" bestFit="1" customWidth="1"/>
    <col min="5892" max="5892" width="9.88671875" customWidth="1"/>
    <col min="5893" max="5893" width="9.44140625" bestFit="1" customWidth="1"/>
    <col min="6145" max="6145" width="9.44140625" bestFit="1" customWidth="1"/>
    <col min="6148" max="6148" width="9.88671875" customWidth="1"/>
    <col min="6149" max="6149" width="9.44140625" bestFit="1" customWidth="1"/>
    <col min="6401" max="6401" width="9.44140625" bestFit="1" customWidth="1"/>
    <col min="6404" max="6404" width="9.88671875" customWidth="1"/>
    <col min="6405" max="6405" width="9.44140625" bestFit="1" customWidth="1"/>
    <col min="6657" max="6657" width="9.44140625" bestFit="1" customWidth="1"/>
    <col min="6660" max="6660" width="9.88671875" customWidth="1"/>
    <col min="6661" max="6661" width="9.44140625" bestFit="1" customWidth="1"/>
    <col min="6913" max="6913" width="9.44140625" bestFit="1" customWidth="1"/>
    <col min="6916" max="6916" width="9.88671875" customWidth="1"/>
    <col min="6917" max="6917" width="9.44140625" bestFit="1" customWidth="1"/>
    <col min="7169" max="7169" width="9.44140625" bestFit="1" customWidth="1"/>
    <col min="7172" max="7172" width="9.88671875" customWidth="1"/>
    <col min="7173" max="7173" width="9.44140625" bestFit="1" customWidth="1"/>
    <col min="7425" max="7425" width="9.44140625" bestFit="1" customWidth="1"/>
    <col min="7428" max="7428" width="9.88671875" customWidth="1"/>
    <col min="7429" max="7429" width="9.44140625" bestFit="1" customWidth="1"/>
    <col min="7681" max="7681" width="9.44140625" bestFit="1" customWidth="1"/>
    <col min="7684" max="7684" width="9.88671875" customWidth="1"/>
    <col min="7685" max="7685" width="9.44140625" bestFit="1" customWidth="1"/>
    <col min="7937" max="7937" width="9.44140625" bestFit="1" customWidth="1"/>
    <col min="7940" max="7940" width="9.88671875" customWidth="1"/>
    <col min="7941" max="7941" width="9.44140625" bestFit="1" customWidth="1"/>
    <col min="8193" max="8193" width="9.44140625" bestFit="1" customWidth="1"/>
    <col min="8196" max="8196" width="9.88671875" customWidth="1"/>
    <col min="8197" max="8197" width="9.44140625" bestFit="1" customWidth="1"/>
    <col min="8449" max="8449" width="9.44140625" bestFit="1" customWidth="1"/>
    <col min="8452" max="8452" width="9.88671875" customWidth="1"/>
    <col min="8453" max="8453" width="9.44140625" bestFit="1" customWidth="1"/>
    <col min="8705" max="8705" width="9.44140625" bestFit="1" customWidth="1"/>
    <col min="8708" max="8708" width="9.88671875" customWidth="1"/>
    <col min="8709" max="8709" width="9.44140625" bestFit="1" customWidth="1"/>
    <col min="8961" max="8961" width="9.44140625" bestFit="1" customWidth="1"/>
    <col min="8964" max="8964" width="9.88671875" customWidth="1"/>
    <col min="8965" max="8965" width="9.44140625" bestFit="1" customWidth="1"/>
    <col min="9217" max="9217" width="9.44140625" bestFit="1" customWidth="1"/>
    <col min="9220" max="9220" width="9.88671875" customWidth="1"/>
    <col min="9221" max="9221" width="9.44140625" bestFit="1" customWidth="1"/>
    <col min="9473" max="9473" width="9.44140625" bestFit="1" customWidth="1"/>
    <col min="9476" max="9476" width="9.88671875" customWidth="1"/>
    <col min="9477" max="9477" width="9.44140625" bestFit="1" customWidth="1"/>
    <col min="9729" max="9729" width="9.44140625" bestFit="1" customWidth="1"/>
    <col min="9732" max="9732" width="9.88671875" customWidth="1"/>
    <col min="9733" max="9733" width="9.44140625" bestFit="1" customWidth="1"/>
    <col min="9985" max="9985" width="9.44140625" bestFit="1" customWidth="1"/>
    <col min="9988" max="9988" width="9.88671875" customWidth="1"/>
    <col min="9989" max="9989" width="9.44140625" bestFit="1" customWidth="1"/>
    <col min="10241" max="10241" width="9.44140625" bestFit="1" customWidth="1"/>
    <col min="10244" max="10244" width="9.88671875" customWidth="1"/>
    <col min="10245" max="10245" width="9.44140625" bestFit="1" customWidth="1"/>
    <col min="10497" max="10497" width="9.44140625" bestFit="1" customWidth="1"/>
    <col min="10500" max="10500" width="9.88671875" customWidth="1"/>
    <col min="10501" max="10501" width="9.44140625" bestFit="1" customWidth="1"/>
    <col min="10753" max="10753" width="9.44140625" bestFit="1" customWidth="1"/>
    <col min="10756" max="10756" width="9.88671875" customWidth="1"/>
    <col min="10757" max="10757" width="9.44140625" bestFit="1" customWidth="1"/>
    <col min="11009" max="11009" width="9.44140625" bestFit="1" customWidth="1"/>
    <col min="11012" max="11012" width="9.88671875" customWidth="1"/>
    <col min="11013" max="11013" width="9.44140625" bestFit="1" customWidth="1"/>
    <col min="11265" max="11265" width="9.44140625" bestFit="1" customWidth="1"/>
    <col min="11268" max="11268" width="9.88671875" customWidth="1"/>
    <col min="11269" max="11269" width="9.44140625" bestFit="1" customWidth="1"/>
    <col min="11521" max="11521" width="9.44140625" bestFit="1" customWidth="1"/>
    <col min="11524" max="11524" width="9.88671875" customWidth="1"/>
    <col min="11525" max="11525" width="9.44140625" bestFit="1" customWidth="1"/>
    <col min="11777" max="11777" width="9.44140625" bestFit="1" customWidth="1"/>
    <col min="11780" max="11780" width="9.88671875" customWidth="1"/>
    <col min="11781" max="11781" width="9.44140625" bestFit="1" customWidth="1"/>
    <col min="12033" max="12033" width="9.44140625" bestFit="1" customWidth="1"/>
    <col min="12036" max="12036" width="9.88671875" customWidth="1"/>
    <col min="12037" max="12037" width="9.44140625" bestFit="1" customWidth="1"/>
    <col min="12289" max="12289" width="9.44140625" bestFit="1" customWidth="1"/>
    <col min="12292" max="12292" width="9.88671875" customWidth="1"/>
    <col min="12293" max="12293" width="9.44140625" bestFit="1" customWidth="1"/>
    <col min="12545" max="12545" width="9.44140625" bestFit="1" customWidth="1"/>
    <col min="12548" max="12548" width="9.88671875" customWidth="1"/>
    <col min="12549" max="12549" width="9.44140625" bestFit="1" customWidth="1"/>
    <col min="12801" max="12801" width="9.44140625" bestFit="1" customWidth="1"/>
    <col min="12804" max="12804" width="9.88671875" customWidth="1"/>
    <col min="12805" max="12805" width="9.44140625" bestFit="1" customWidth="1"/>
    <col min="13057" max="13057" width="9.44140625" bestFit="1" customWidth="1"/>
    <col min="13060" max="13060" width="9.88671875" customWidth="1"/>
    <col min="13061" max="13061" width="9.44140625" bestFit="1" customWidth="1"/>
    <col min="13313" max="13313" width="9.44140625" bestFit="1" customWidth="1"/>
    <col min="13316" max="13316" width="9.88671875" customWidth="1"/>
    <col min="13317" max="13317" width="9.44140625" bestFit="1" customWidth="1"/>
    <col min="13569" max="13569" width="9.44140625" bestFit="1" customWidth="1"/>
    <col min="13572" max="13572" width="9.88671875" customWidth="1"/>
    <col min="13573" max="13573" width="9.44140625" bestFit="1" customWidth="1"/>
    <col min="13825" max="13825" width="9.44140625" bestFit="1" customWidth="1"/>
    <col min="13828" max="13828" width="9.88671875" customWidth="1"/>
    <col min="13829" max="13829" width="9.44140625" bestFit="1" customWidth="1"/>
    <col min="14081" max="14081" width="9.44140625" bestFit="1" customWidth="1"/>
    <col min="14084" max="14084" width="9.88671875" customWidth="1"/>
    <col min="14085" max="14085" width="9.44140625" bestFit="1" customWidth="1"/>
    <col min="14337" max="14337" width="9.44140625" bestFit="1" customWidth="1"/>
    <col min="14340" max="14340" width="9.88671875" customWidth="1"/>
    <col min="14341" max="14341" width="9.44140625" bestFit="1" customWidth="1"/>
    <col min="14593" max="14593" width="9.44140625" bestFit="1" customWidth="1"/>
    <col min="14596" max="14596" width="9.88671875" customWidth="1"/>
    <col min="14597" max="14597" width="9.44140625" bestFit="1" customWidth="1"/>
    <col min="14849" max="14849" width="9.44140625" bestFit="1" customWidth="1"/>
    <col min="14852" max="14852" width="9.88671875" customWidth="1"/>
    <col min="14853" max="14853" width="9.44140625" bestFit="1" customWidth="1"/>
    <col min="15105" max="15105" width="9.44140625" bestFit="1" customWidth="1"/>
    <col min="15108" max="15108" width="9.88671875" customWidth="1"/>
    <col min="15109" max="15109" width="9.44140625" bestFit="1" customWidth="1"/>
    <col min="15361" max="15361" width="9.44140625" bestFit="1" customWidth="1"/>
    <col min="15364" max="15364" width="9.88671875" customWidth="1"/>
    <col min="15365" max="15365" width="9.44140625" bestFit="1" customWidth="1"/>
    <col min="15617" max="15617" width="9.44140625" bestFit="1" customWidth="1"/>
    <col min="15620" max="15620" width="9.88671875" customWidth="1"/>
    <col min="15621" max="15621" width="9.44140625" bestFit="1" customWidth="1"/>
    <col min="15873" max="15873" width="9.44140625" bestFit="1" customWidth="1"/>
    <col min="15876" max="15876" width="9.88671875" customWidth="1"/>
    <col min="15877" max="15877" width="9.44140625" bestFit="1" customWidth="1"/>
    <col min="16129" max="16129" width="9.44140625" bestFit="1" customWidth="1"/>
    <col min="16132" max="16132" width="9.88671875" customWidth="1"/>
    <col min="16133" max="16133" width="9.44140625" bestFit="1" customWidth="1"/>
  </cols>
  <sheetData>
    <row r="1" spans="1:11" ht="24.6" hidden="1" x14ac:dyDescent="0.4">
      <c r="A1" s="198"/>
    </row>
    <row r="2" spans="1:11" hidden="1" x14ac:dyDescent="0.3">
      <c r="A2" s="199"/>
      <c r="E2" s="200"/>
      <c r="F2" s="200"/>
      <c r="G2" s="200"/>
      <c r="H2" s="200"/>
    </row>
    <row r="3" spans="1:11" hidden="1" x14ac:dyDescent="0.3">
      <c r="F3" s="200"/>
      <c r="G3" s="200"/>
      <c r="H3" s="200"/>
    </row>
    <row r="4" spans="1:11" hidden="1" x14ac:dyDescent="0.3">
      <c r="A4" s="200"/>
    </row>
    <row r="5" spans="1:11" hidden="1" x14ac:dyDescent="0.3"/>
    <row r="6" spans="1:11" hidden="1" x14ac:dyDescent="0.3">
      <c r="A6" s="201"/>
    </row>
    <row r="7" spans="1:11" hidden="1" x14ac:dyDescent="0.3">
      <c r="A7" s="201"/>
    </row>
    <row r="8" spans="1:11" hidden="1" x14ac:dyDescent="0.3">
      <c r="A8" s="201"/>
      <c r="E8" s="202"/>
      <c r="F8" s="202"/>
      <c r="G8" s="202"/>
      <c r="H8" s="202"/>
      <c r="K8" s="202"/>
    </row>
    <row r="9" spans="1:11" hidden="1" x14ac:dyDescent="0.3"/>
    <row r="10" spans="1:11" hidden="1" x14ac:dyDescent="0.3">
      <c r="A10" s="200"/>
      <c r="G10" s="200"/>
    </row>
    <row r="11" spans="1:11" hidden="1" x14ac:dyDescent="0.3"/>
    <row r="12" spans="1:11" hidden="1" x14ac:dyDescent="0.3">
      <c r="A12" s="201"/>
    </row>
    <row r="13" spans="1:11" hidden="1" x14ac:dyDescent="0.3">
      <c r="A13" s="201"/>
    </row>
    <row r="14" spans="1:11" hidden="1" x14ac:dyDescent="0.3">
      <c r="A14" s="201"/>
      <c r="E14" s="202"/>
      <c r="F14" s="202"/>
    </row>
    <row r="15" spans="1:11" hidden="1" x14ac:dyDescent="0.3"/>
    <row r="16" spans="1:11" hidden="1" x14ac:dyDescent="0.3"/>
    <row r="17" spans="1:11" hidden="1" x14ac:dyDescent="0.3">
      <c r="A17" s="1"/>
      <c r="D17" s="1"/>
    </row>
    <row r="18" spans="1:11" hidden="1" x14ac:dyDescent="0.3">
      <c r="A18" s="203"/>
      <c r="B18" s="200"/>
      <c r="E18" s="202"/>
      <c r="F18" s="202"/>
      <c r="G18" s="203"/>
    </row>
    <row r="19" spans="1:11" hidden="1" x14ac:dyDescent="0.3">
      <c r="A19" s="203"/>
      <c r="B19" s="200"/>
      <c r="C19" s="1"/>
      <c r="E19" s="202"/>
      <c r="G19" s="201"/>
    </row>
    <row r="20" spans="1:11" hidden="1" x14ac:dyDescent="0.3">
      <c r="E20" s="200"/>
      <c r="F20" s="200"/>
      <c r="G20" s="200"/>
    </row>
    <row r="21" spans="1:11" hidden="1" x14ac:dyDescent="0.3">
      <c r="A21" s="460"/>
      <c r="B21" s="460"/>
      <c r="C21" s="460"/>
      <c r="D21" s="460"/>
      <c r="E21" s="204"/>
      <c r="F21" s="204"/>
      <c r="G21" s="204"/>
    </row>
    <row r="22" spans="1:11" hidden="1" x14ac:dyDescent="0.3">
      <c r="A22" s="460"/>
      <c r="B22" s="460"/>
      <c r="C22" s="460"/>
      <c r="D22" s="460"/>
      <c r="E22" s="204"/>
    </row>
    <row r="23" spans="1:11" hidden="1" x14ac:dyDescent="0.3">
      <c r="A23" s="460"/>
      <c r="B23" s="460"/>
      <c r="C23" s="460"/>
      <c r="D23" s="460"/>
      <c r="E23" s="204"/>
    </row>
    <row r="24" spans="1:11" hidden="1" x14ac:dyDescent="0.3">
      <c r="A24" s="201"/>
      <c r="G24" s="201"/>
    </row>
    <row r="25" spans="1:11" hidden="1" x14ac:dyDescent="0.3">
      <c r="A25" s="201"/>
      <c r="G25" s="201"/>
    </row>
    <row r="26" spans="1:11" hidden="1" x14ac:dyDescent="0.3">
      <c r="A26" s="201"/>
      <c r="E26" s="202"/>
      <c r="G26" s="201"/>
      <c r="K26" s="202"/>
    </row>
    <row r="27" spans="1:11" hidden="1" x14ac:dyDescent="0.3"/>
    <row r="28" spans="1:11" hidden="1" x14ac:dyDescent="0.3"/>
    <row r="29" spans="1:11" hidden="1" x14ac:dyDescent="0.3">
      <c r="A29" s="205"/>
      <c r="K29" s="205"/>
    </row>
    <row r="30" spans="1:11" hidden="1" x14ac:dyDescent="0.3"/>
    <row r="31" spans="1:11" hidden="1" x14ac:dyDescent="0.3"/>
    <row r="32" spans="1:11" hidden="1" x14ac:dyDescent="0.3"/>
    <row r="33" spans="1:12" hidden="1" x14ac:dyDescent="0.3"/>
    <row r="34" spans="1:12" hidden="1" x14ac:dyDescent="0.3"/>
    <row r="35" spans="1:12" hidden="1" x14ac:dyDescent="0.3"/>
    <row r="36" spans="1:12" hidden="1" x14ac:dyDescent="0.3">
      <c r="A36" s="351"/>
      <c r="B36" s="351"/>
      <c r="K36" s="351"/>
      <c r="L36" s="351"/>
    </row>
    <row r="37" spans="1:12" hidden="1" x14ac:dyDescent="0.3"/>
    <row r="38" spans="1:12" hidden="1" x14ac:dyDescent="0.3">
      <c r="B38" s="1"/>
      <c r="L38" s="1"/>
    </row>
    <row r="39" spans="1:12" hidden="1" x14ac:dyDescent="0.3"/>
    <row r="40" spans="1:12" hidden="1" x14ac:dyDescent="0.3"/>
    <row r="41" spans="1:12" hidden="1" x14ac:dyDescent="0.3"/>
    <row r="42" spans="1:12" hidden="1" x14ac:dyDescent="0.3"/>
    <row r="43" spans="1:12" hidden="1" x14ac:dyDescent="0.3">
      <c r="B43" s="1"/>
      <c r="L43" s="1"/>
    </row>
    <row r="44" spans="1:12" hidden="1" x14ac:dyDescent="0.3"/>
    <row r="45" spans="1:12" hidden="1" x14ac:dyDescent="0.3"/>
    <row r="46" spans="1:12" hidden="1" x14ac:dyDescent="0.3"/>
    <row r="47" spans="1:12" hidden="1" x14ac:dyDescent="0.3"/>
    <row r="48" spans="1:12" hidden="1" x14ac:dyDescent="0.3"/>
    <row r="49" spans="1:18" ht="18" hidden="1" customHeight="1" x14ac:dyDescent="0.3">
      <c r="A49" s="202"/>
      <c r="K49" s="202"/>
    </row>
    <row r="50" spans="1:18" hidden="1" x14ac:dyDescent="0.3"/>
    <row r="51" spans="1:18" hidden="1" x14ac:dyDescent="0.3">
      <c r="A51" s="1"/>
      <c r="B51" s="1"/>
      <c r="C51" s="1"/>
      <c r="D51" s="1"/>
      <c r="E51" s="1"/>
      <c r="F51" s="1"/>
      <c r="H51" s="204"/>
      <c r="K51" s="1"/>
      <c r="L51" s="1"/>
      <c r="M51" s="1"/>
      <c r="N51" s="1"/>
      <c r="O51" s="1"/>
      <c r="P51" s="1"/>
      <c r="R51" s="204"/>
    </row>
    <row r="52" spans="1:18" hidden="1" x14ac:dyDescent="0.3"/>
    <row r="53" spans="1:18" hidden="1" x14ac:dyDescent="0.3"/>
    <row r="54" spans="1:18" hidden="1" x14ac:dyDescent="0.3">
      <c r="A54" s="205"/>
      <c r="K54" s="205"/>
    </row>
    <row r="55" spans="1:18" hidden="1" x14ac:dyDescent="0.3"/>
    <row r="56" spans="1:18" hidden="1" x14ac:dyDescent="0.3"/>
    <row r="57" spans="1:18" hidden="1" x14ac:dyDescent="0.3"/>
    <row r="58" spans="1:18" hidden="1" x14ac:dyDescent="0.3"/>
    <row r="59" spans="1:18" hidden="1" x14ac:dyDescent="0.3"/>
    <row r="60" spans="1:18" hidden="1" x14ac:dyDescent="0.3"/>
    <row r="61" spans="1:18" hidden="1" x14ac:dyDescent="0.3">
      <c r="J61" s="351"/>
      <c r="K61" s="351"/>
    </row>
    <row r="62" spans="1:18" hidden="1" x14ac:dyDescent="0.3">
      <c r="B62" s="1"/>
    </row>
    <row r="63" spans="1:18" hidden="1" x14ac:dyDescent="0.3">
      <c r="L63" s="1"/>
    </row>
    <row r="64" spans="1:18" hidden="1" x14ac:dyDescent="0.3"/>
    <row r="65" spans="1:17" hidden="1" x14ac:dyDescent="0.3"/>
    <row r="66" spans="1:17" hidden="1" x14ac:dyDescent="0.3"/>
    <row r="67" spans="1:17" hidden="1" x14ac:dyDescent="0.3">
      <c r="B67" s="1"/>
    </row>
    <row r="68" spans="1:17" hidden="1" x14ac:dyDescent="0.3">
      <c r="L68" s="1"/>
    </row>
    <row r="69" spans="1:17" hidden="1" x14ac:dyDescent="0.3"/>
    <row r="70" spans="1:17" hidden="1" x14ac:dyDescent="0.3"/>
    <row r="71" spans="1:17" hidden="1" x14ac:dyDescent="0.3"/>
    <row r="72" spans="1:17" hidden="1" x14ac:dyDescent="0.3"/>
    <row r="73" spans="1:17" ht="18" hidden="1" customHeight="1" x14ac:dyDescent="0.3">
      <c r="A73" s="202"/>
    </row>
    <row r="74" spans="1:17" hidden="1" x14ac:dyDescent="0.3">
      <c r="K74" s="202"/>
    </row>
    <row r="75" spans="1:17" hidden="1" x14ac:dyDescent="0.3">
      <c r="A75" s="1"/>
      <c r="B75" s="1"/>
      <c r="C75" s="1"/>
      <c r="D75" s="1"/>
      <c r="E75" s="1"/>
      <c r="F75" s="1"/>
      <c r="H75" s="204"/>
    </row>
    <row r="76" spans="1:17" hidden="1" x14ac:dyDescent="0.3">
      <c r="K76" s="1"/>
      <c r="L76" s="1"/>
      <c r="M76" s="1"/>
      <c r="N76" s="1"/>
      <c r="O76" s="1"/>
      <c r="Q76" s="204"/>
    </row>
    <row r="77" spans="1:17" hidden="1" x14ac:dyDescent="0.3"/>
    <row r="78" spans="1:17" ht="15" hidden="1" thickBot="1" x14ac:dyDescent="0.35"/>
    <row r="79" spans="1:17" ht="14.25" hidden="1" customHeight="1" thickTop="1" thickBot="1" x14ac:dyDescent="0.35">
      <c r="A79" s="118"/>
      <c r="B79" s="119"/>
      <c r="C79" s="119"/>
      <c r="D79" s="119"/>
      <c r="E79" s="120"/>
      <c r="F79" s="121"/>
      <c r="G79" s="122"/>
      <c r="H79" s="122"/>
      <c r="I79" s="123"/>
    </row>
    <row r="80" spans="1:17" ht="18" hidden="1" customHeight="1" thickTop="1" x14ac:dyDescent="0.3">
      <c r="A80" s="118"/>
      <c r="B80" s="119"/>
      <c r="C80" s="119"/>
      <c r="D80" s="119"/>
      <c r="E80" s="120"/>
      <c r="F80" s="121"/>
      <c r="G80" s="121"/>
      <c r="H80" s="122"/>
      <c r="I80" s="122"/>
      <c r="J80" s="122"/>
      <c r="K80" s="123"/>
    </row>
    <row r="81" spans="1:11" ht="15" hidden="1" customHeight="1" x14ac:dyDescent="0.3">
      <c r="A81" s="124" t="s">
        <v>249</v>
      </c>
      <c r="B81" s="1"/>
      <c r="C81" s="1"/>
      <c r="D81" s="1"/>
      <c r="E81" s="125" t="s">
        <v>146</v>
      </c>
      <c r="F81" s="126"/>
      <c r="G81" s="146" t="s">
        <v>206</v>
      </c>
      <c r="H81" s="127"/>
      <c r="I81" s="146" t="s">
        <v>207</v>
      </c>
      <c r="J81" s="126"/>
      <c r="K81" s="146" t="s">
        <v>208</v>
      </c>
    </row>
    <row r="82" spans="1:11" ht="15" hidden="1" customHeight="1" x14ac:dyDescent="0.3">
      <c r="A82" s="207" t="s">
        <v>147</v>
      </c>
      <c r="B82" s="207" t="s">
        <v>148</v>
      </c>
      <c r="C82" s="207"/>
      <c r="D82" s="207"/>
      <c r="E82" s="207" t="s">
        <v>149</v>
      </c>
      <c r="F82" s="129"/>
      <c r="G82" s="147">
        <v>41.677200000000006</v>
      </c>
      <c r="H82" s="129"/>
      <c r="I82" s="147"/>
      <c r="J82" s="129"/>
      <c r="K82" s="147">
        <v>45.014400000000002</v>
      </c>
    </row>
    <row r="83" spans="1:11" ht="15" hidden="1" customHeight="1" x14ac:dyDescent="0.3">
      <c r="A83" s="207" t="s">
        <v>150</v>
      </c>
      <c r="B83" s="207" t="s">
        <v>151</v>
      </c>
      <c r="C83" s="207"/>
      <c r="D83" s="207"/>
      <c r="E83" s="207" t="s">
        <v>149</v>
      </c>
      <c r="F83" s="129"/>
      <c r="G83" s="148">
        <v>67.823999999999998</v>
      </c>
      <c r="H83" s="129"/>
      <c r="I83" s="148"/>
      <c r="J83" s="129"/>
      <c r="K83" s="148">
        <v>73.256399999999999</v>
      </c>
    </row>
    <row r="84" spans="1:11" ht="15" hidden="1" customHeight="1" x14ac:dyDescent="0.3">
      <c r="A84" s="207" t="s">
        <v>152</v>
      </c>
      <c r="B84" s="207" t="s">
        <v>153</v>
      </c>
      <c r="C84" s="207"/>
      <c r="D84" s="207"/>
      <c r="E84" s="207" t="s">
        <v>149</v>
      </c>
      <c r="F84" s="129"/>
      <c r="G84" s="148">
        <v>32.724000000000004</v>
      </c>
      <c r="H84" s="129"/>
      <c r="I84" s="148"/>
      <c r="J84" s="129"/>
      <c r="K84" s="149"/>
    </row>
    <row r="85" spans="1:11" ht="15" hidden="1" customHeight="1" x14ac:dyDescent="0.3">
      <c r="A85" s="207" t="s">
        <v>229</v>
      </c>
      <c r="B85" s="208" t="s">
        <v>154</v>
      </c>
      <c r="C85" s="207"/>
      <c r="D85" s="207"/>
      <c r="E85" s="207"/>
      <c r="F85" s="129"/>
      <c r="G85" s="148">
        <v>14.655600000000002</v>
      </c>
      <c r="H85" s="129"/>
      <c r="I85" s="148">
        <v>11.750400000000001</v>
      </c>
      <c r="J85" s="129"/>
      <c r="K85" s="149"/>
    </row>
    <row r="86" spans="1:11" ht="15" hidden="1" customHeight="1" x14ac:dyDescent="0.3">
      <c r="A86" s="207" t="s">
        <v>155</v>
      </c>
      <c r="B86" s="207" t="s">
        <v>156</v>
      </c>
      <c r="C86" s="207"/>
      <c r="D86" s="207"/>
      <c r="E86" s="207" t="s">
        <v>157</v>
      </c>
      <c r="F86" s="129"/>
      <c r="G86" s="148">
        <v>10.4436</v>
      </c>
      <c r="H86" s="129"/>
      <c r="I86" s="148">
        <v>16.340400000000002</v>
      </c>
      <c r="J86" s="129"/>
      <c r="K86" s="148">
        <v>14.472000000000001</v>
      </c>
    </row>
    <row r="87" spans="1:11" ht="15" hidden="1" customHeight="1" x14ac:dyDescent="0.3">
      <c r="A87" s="207" t="s">
        <v>158</v>
      </c>
      <c r="B87" s="207" t="s">
        <v>159</v>
      </c>
      <c r="C87" s="207"/>
      <c r="D87" s="207"/>
      <c r="E87" s="207" t="s">
        <v>160</v>
      </c>
      <c r="F87" s="129"/>
      <c r="G87" s="148">
        <v>18.003600000000002</v>
      </c>
      <c r="H87" s="129"/>
      <c r="I87" s="148"/>
      <c r="J87" s="129"/>
      <c r="K87" s="149"/>
    </row>
    <row r="88" spans="1:11" ht="15" hidden="1" customHeight="1" x14ac:dyDescent="0.3">
      <c r="A88" s="207"/>
      <c r="B88" s="208"/>
      <c r="C88" s="207"/>
      <c r="D88" s="207"/>
      <c r="E88" s="207"/>
      <c r="F88" s="129"/>
      <c r="G88" s="148"/>
      <c r="H88" s="129"/>
      <c r="I88" s="148"/>
      <c r="J88" s="129"/>
      <c r="K88" s="149"/>
    </row>
    <row r="89" spans="1:11" ht="15" hidden="1" customHeight="1" x14ac:dyDescent="0.3">
      <c r="A89" s="207" t="s">
        <v>161</v>
      </c>
      <c r="B89" s="207" t="s">
        <v>162</v>
      </c>
      <c r="C89" s="207"/>
      <c r="D89" s="207"/>
      <c r="E89" s="207" t="s">
        <v>149</v>
      </c>
      <c r="F89" s="129"/>
      <c r="G89" s="148">
        <v>22.258800000000001</v>
      </c>
      <c r="H89" s="129"/>
      <c r="I89" s="233">
        <v>20.768400000000003</v>
      </c>
      <c r="J89" s="129"/>
      <c r="K89" s="233">
        <v>26.762400000000003</v>
      </c>
    </row>
    <row r="90" spans="1:11" ht="15" hidden="1" customHeight="1" x14ac:dyDescent="0.3">
      <c r="A90" s="207" t="s">
        <v>163</v>
      </c>
      <c r="B90" s="207" t="s">
        <v>164</v>
      </c>
      <c r="C90" s="207"/>
      <c r="D90" s="207"/>
      <c r="E90" s="207" t="s">
        <v>149</v>
      </c>
      <c r="F90" s="129"/>
      <c r="G90" s="148">
        <v>17.906399999999998</v>
      </c>
      <c r="H90" s="129"/>
      <c r="I90" s="148">
        <v>16.135200000000001</v>
      </c>
      <c r="J90" s="129"/>
      <c r="K90" s="148">
        <v>20.681999999999999</v>
      </c>
    </row>
    <row r="91" spans="1:11" ht="15" hidden="1" customHeight="1" x14ac:dyDescent="0.3">
      <c r="A91" s="207" t="s">
        <v>165</v>
      </c>
      <c r="B91" s="207" t="s">
        <v>166</v>
      </c>
      <c r="C91" s="207"/>
      <c r="D91" s="207"/>
      <c r="E91" s="207" t="s">
        <v>160</v>
      </c>
      <c r="F91" s="129"/>
      <c r="G91" s="148">
        <v>1.6416000000000002</v>
      </c>
      <c r="H91" s="130"/>
      <c r="I91" s="150"/>
      <c r="J91" s="131"/>
      <c r="K91" s="149"/>
    </row>
    <row r="92" spans="1:11" ht="15" hidden="1" customHeight="1" x14ac:dyDescent="0.3">
      <c r="A92" s="207"/>
      <c r="B92" s="207" t="s">
        <v>167</v>
      </c>
      <c r="C92" s="207"/>
      <c r="D92" s="207"/>
      <c r="E92" s="207"/>
      <c r="F92" s="129"/>
      <c r="G92" s="148"/>
      <c r="H92" s="131"/>
      <c r="I92" s="151"/>
      <c r="J92" s="131"/>
      <c r="K92" s="149"/>
    </row>
    <row r="93" spans="1:11" ht="15" hidden="1" customHeight="1" x14ac:dyDescent="0.3">
      <c r="A93" s="207"/>
      <c r="B93" s="207"/>
      <c r="C93" s="207"/>
      <c r="D93" s="207"/>
      <c r="E93" s="207"/>
      <c r="F93" s="129"/>
      <c r="G93" s="148"/>
      <c r="H93" s="131"/>
      <c r="I93" s="151"/>
      <c r="J93" s="131"/>
      <c r="K93" s="149"/>
    </row>
    <row r="94" spans="1:11" ht="15" hidden="1" customHeight="1" x14ac:dyDescent="0.3">
      <c r="A94" s="207" t="s">
        <v>168</v>
      </c>
      <c r="B94" s="207" t="s">
        <v>169</v>
      </c>
      <c r="C94" s="207"/>
      <c r="D94" s="207"/>
      <c r="E94" s="207" t="s">
        <v>160</v>
      </c>
      <c r="F94" s="129"/>
      <c r="G94" s="148">
        <v>66.355199999999996</v>
      </c>
      <c r="H94" s="129"/>
      <c r="I94" s="148">
        <v>67.068000000000012</v>
      </c>
      <c r="J94" s="131"/>
      <c r="K94" s="148">
        <v>72.986400000000003</v>
      </c>
    </row>
    <row r="95" spans="1:11" ht="15" hidden="1" customHeight="1" x14ac:dyDescent="0.3">
      <c r="A95" s="207"/>
      <c r="B95" s="207"/>
      <c r="C95" s="207"/>
      <c r="D95" s="207"/>
      <c r="E95" s="207"/>
      <c r="F95" s="129"/>
      <c r="G95" s="148"/>
      <c r="H95" s="131"/>
      <c r="I95" s="151"/>
      <c r="J95" s="131"/>
      <c r="K95" s="149"/>
    </row>
    <row r="96" spans="1:11" ht="15" hidden="1" customHeight="1" x14ac:dyDescent="0.3">
      <c r="A96" s="207" t="s">
        <v>170</v>
      </c>
      <c r="B96" s="207" t="s">
        <v>171</v>
      </c>
      <c r="C96" s="207"/>
      <c r="D96" s="207"/>
      <c r="E96" s="207" t="s">
        <v>149</v>
      </c>
      <c r="F96" s="129"/>
      <c r="G96" s="148">
        <v>19.224000000000004</v>
      </c>
      <c r="H96" s="129"/>
      <c r="I96" s="148">
        <v>16.362000000000002</v>
      </c>
      <c r="J96" s="129"/>
      <c r="K96" s="148">
        <v>21.038400000000003</v>
      </c>
    </row>
    <row r="97" spans="1:11" ht="15" hidden="1" customHeight="1" x14ac:dyDescent="0.3">
      <c r="A97" s="207" t="s">
        <v>172</v>
      </c>
      <c r="B97" s="207" t="s">
        <v>173</v>
      </c>
      <c r="C97" s="207"/>
      <c r="D97" s="207"/>
      <c r="E97" s="207" t="s">
        <v>160</v>
      </c>
      <c r="F97" s="129"/>
      <c r="G97" s="148">
        <v>2.1707999999999998</v>
      </c>
      <c r="H97" s="129"/>
      <c r="I97" s="148">
        <v>1.9008</v>
      </c>
      <c r="J97" s="129"/>
      <c r="K97" s="148">
        <v>5.9076000000000004</v>
      </c>
    </row>
    <row r="98" spans="1:11" ht="15" hidden="1" customHeight="1" x14ac:dyDescent="0.3">
      <c r="A98" s="207" t="s">
        <v>174</v>
      </c>
      <c r="B98" s="207" t="s">
        <v>175</v>
      </c>
      <c r="C98" s="207"/>
      <c r="D98" s="207"/>
      <c r="E98" s="207" t="s">
        <v>149</v>
      </c>
      <c r="F98" s="129"/>
      <c r="G98" s="148">
        <v>1.1340000000000001</v>
      </c>
      <c r="H98" s="129"/>
      <c r="I98" s="148"/>
      <c r="J98" s="129"/>
      <c r="K98" s="149"/>
    </row>
    <row r="99" spans="1:11" ht="15" hidden="1" customHeight="1" x14ac:dyDescent="0.3">
      <c r="A99" s="207" t="s">
        <v>176</v>
      </c>
      <c r="B99" s="207" t="s">
        <v>177</v>
      </c>
      <c r="C99" s="207"/>
      <c r="D99" s="207"/>
      <c r="E99" s="207" t="s">
        <v>160</v>
      </c>
      <c r="F99" s="129"/>
      <c r="G99" s="148">
        <v>6.9876000000000005</v>
      </c>
      <c r="H99" s="129"/>
      <c r="I99" s="152">
        <v>7.4736000000000002</v>
      </c>
      <c r="J99" s="129"/>
      <c r="K99" s="152">
        <v>9.8388000000000009</v>
      </c>
    </row>
    <row r="100" spans="1:11" ht="15" hidden="1" customHeight="1" x14ac:dyDescent="0.3">
      <c r="A100" s="207" t="s">
        <v>178</v>
      </c>
      <c r="B100" s="207" t="s">
        <v>179</v>
      </c>
      <c r="C100" s="207"/>
      <c r="D100" s="207"/>
      <c r="E100" s="207" t="s">
        <v>160</v>
      </c>
      <c r="F100" s="129"/>
      <c r="G100" s="148">
        <v>10.659599999999999</v>
      </c>
      <c r="H100" s="129"/>
      <c r="I100" s="153"/>
      <c r="J100" s="129"/>
      <c r="K100" s="36"/>
    </row>
    <row r="101" spans="1:11" ht="15" hidden="1" customHeight="1" x14ac:dyDescent="0.3">
      <c r="A101" s="207" t="s">
        <v>180</v>
      </c>
      <c r="B101" s="207" t="s">
        <v>181</v>
      </c>
      <c r="C101" s="207"/>
      <c r="D101" s="207"/>
      <c r="E101" s="207" t="s">
        <v>160</v>
      </c>
      <c r="F101" s="129"/>
      <c r="G101" s="148">
        <v>51.537600000000005</v>
      </c>
      <c r="H101" s="129"/>
      <c r="I101" s="129"/>
      <c r="J101" s="129"/>
      <c r="K101" s="36"/>
    </row>
    <row r="102" spans="1:11" ht="15" hidden="1" customHeight="1" x14ac:dyDescent="0.3">
      <c r="A102" s="207" t="s">
        <v>182</v>
      </c>
      <c r="B102" s="207" t="s">
        <v>183</v>
      </c>
      <c r="C102" s="207"/>
      <c r="D102" s="207"/>
      <c r="E102" s="207" t="s">
        <v>160</v>
      </c>
      <c r="F102" s="129"/>
      <c r="G102" s="148">
        <v>8.4672000000000001</v>
      </c>
      <c r="H102" s="132"/>
      <c r="I102" s="132"/>
      <c r="J102" s="129"/>
      <c r="K102" s="36"/>
    </row>
    <row r="103" spans="1:11" ht="15" hidden="1" customHeight="1" x14ac:dyDescent="0.3">
      <c r="A103" s="207" t="s">
        <v>184</v>
      </c>
      <c r="B103" s="207" t="s">
        <v>185</v>
      </c>
      <c r="C103" s="207"/>
      <c r="D103" s="207"/>
      <c r="E103" s="207" t="s">
        <v>160</v>
      </c>
      <c r="F103" s="129"/>
      <c r="G103" s="148">
        <v>17.398800000000001</v>
      </c>
      <c r="H103" s="128" t="s">
        <v>186</v>
      </c>
      <c r="I103" s="128"/>
      <c r="J103" s="129"/>
      <c r="K103" s="36"/>
    </row>
    <row r="104" spans="1:11" ht="15" hidden="1" customHeight="1" x14ac:dyDescent="0.3">
      <c r="A104" s="207" t="s">
        <v>187</v>
      </c>
      <c r="B104" s="207" t="s">
        <v>230</v>
      </c>
      <c r="C104" s="207"/>
      <c r="D104" s="207"/>
      <c r="E104" s="207" t="s">
        <v>160</v>
      </c>
      <c r="F104" s="129"/>
      <c r="G104" s="148">
        <v>8.1756000000000011</v>
      </c>
      <c r="H104" s="131"/>
      <c r="I104" s="131"/>
      <c r="J104" s="129"/>
      <c r="K104" s="36"/>
    </row>
    <row r="105" spans="1:11" ht="15" hidden="1" customHeight="1" x14ac:dyDescent="0.3">
      <c r="A105" s="207" t="s">
        <v>188</v>
      </c>
      <c r="B105" s="207" t="s">
        <v>189</v>
      </c>
      <c r="C105" s="207"/>
      <c r="D105" s="207"/>
      <c r="E105" s="207" t="s">
        <v>160</v>
      </c>
      <c r="F105" s="129"/>
      <c r="G105" s="148">
        <v>17.139600000000002</v>
      </c>
      <c r="H105" s="131"/>
      <c r="I105" s="131"/>
      <c r="J105" s="129"/>
      <c r="K105" s="36"/>
    </row>
    <row r="106" spans="1:11" ht="15" hidden="1" customHeight="1" x14ac:dyDescent="0.3">
      <c r="A106" s="207" t="s">
        <v>190</v>
      </c>
      <c r="B106" s="207" t="s">
        <v>191</v>
      </c>
      <c r="C106" s="207"/>
      <c r="D106" s="207"/>
      <c r="E106" s="207" t="s">
        <v>160</v>
      </c>
      <c r="F106" s="129"/>
      <c r="G106" s="148">
        <v>37.5732</v>
      </c>
      <c r="H106" s="133"/>
      <c r="I106" s="133"/>
      <c r="J106" s="129"/>
      <c r="K106" s="36"/>
    </row>
    <row r="107" spans="1:11" ht="15" hidden="1" customHeight="1" x14ac:dyDescent="0.3">
      <c r="A107" s="207"/>
      <c r="B107" s="207"/>
      <c r="C107" s="207"/>
      <c r="D107" s="207"/>
      <c r="E107" s="207"/>
      <c r="F107" s="129"/>
      <c r="G107" s="148"/>
      <c r="H107" s="131"/>
      <c r="I107" s="131"/>
      <c r="J107" s="129"/>
      <c r="K107" s="36"/>
    </row>
    <row r="108" spans="1:11" ht="15" hidden="1" customHeight="1" x14ac:dyDescent="0.3">
      <c r="A108" s="207" t="s">
        <v>192</v>
      </c>
      <c r="B108" s="207" t="s">
        <v>193</v>
      </c>
      <c r="C108" s="207"/>
      <c r="D108" s="207"/>
      <c r="E108" s="207" t="s">
        <v>160</v>
      </c>
      <c r="F108" s="129"/>
      <c r="G108" s="148">
        <v>1.5344640000000003</v>
      </c>
      <c r="H108" s="134" t="s">
        <v>194</v>
      </c>
      <c r="I108" s="134"/>
      <c r="J108" s="129"/>
      <c r="K108" s="36"/>
    </row>
    <row r="109" spans="1:11" ht="15" hidden="1" customHeight="1" x14ac:dyDescent="0.3">
      <c r="A109" s="207"/>
      <c r="B109" s="207" t="s">
        <v>195</v>
      </c>
      <c r="C109" s="207"/>
      <c r="D109" s="207"/>
      <c r="E109" s="207"/>
      <c r="F109" s="129"/>
      <c r="G109" s="148"/>
      <c r="H109" s="129"/>
      <c r="I109" s="129"/>
      <c r="J109" s="129"/>
      <c r="K109" s="36"/>
    </row>
    <row r="110" spans="1:11" ht="15" hidden="1" customHeight="1" x14ac:dyDescent="0.3">
      <c r="A110" s="207" t="s">
        <v>196</v>
      </c>
      <c r="B110" s="207" t="s">
        <v>197</v>
      </c>
      <c r="C110" s="207"/>
      <c r="D110" s="207"/>
      <c r="E110" s="207" t="s">
        <v>160</v>
      </c>
      <c r="F110" s="131"/>
      <c r="G110" s="148">
        <v>9.3726719999999997</v>
      </c>
      <c r="H110" s="134" t="s">
        <v>194</v>
      </c>
      <c r="I110" s="134"/>
      <c r="J110" s="131"/>
      <c r="K110" s="36"/>
    </row>
    <row r="111" spans="1:11" ht="15" hidden="1" customHeight="1" x14ac:dyDescent="0.3">
      <c r="A111" s="207"/>
      <c r="B111" s="207" t="s">
        <v>198</v>
      </c>
      <c r="C111" s="207"/>
      <c r="D111" s="207"/>
      <c r="E111" s="207"/>
      <c r="F111" s="129"/>
      <c r="G111" s="148"/>
      <c r="H111" s="131"/>
      <c r="I111" s="131"/>
      <c r="J111" s="131"/>
      <c r="K111" s="36"/>
    </row>
    <row r="112" spans="1:11" ht="15" hidden="1" customHeight="1" x14ac:dyDescent="0.3">
      <c r="A112" s="207" t="s">
        <v>199</v>
      </c>
      <c r="B112" s="207" t="s">
        <v>200</v>
      </c>
      <c r="C112" s="207"/>
      <c r="D112" s="207"/>
      <c r="E112" s="207" t="s">
        <v>201</v>
      </c>
      <c r="F112" s="129"/>
      <c r="G112" s="148">
        <v>14.038271999999999</v>
      </c>
      <c r="H112" s="134" t="s">
        <v>194</v>
      </c>
      <c r="I112" s="134"/>
      <c r="J112" s="131"/>
      <c r="K112" s="36"/>
    </row>
    <row r="113" spans="1:11" ht="15" hidden="1" customHeight="1" x14ac:dyDescent="0.3">
      <c r="A113" s="207"/>
      <c r="B113" s="207" t="s">
        <v>202</v>
      </c>
      <c r="C113" s="207"/>
      <c r="D113" s="207"/>
      <c r="E113" s="207"/>
      <c r="F113" s="129"/>
      <c r="G113" s="148"/>
      <c r="H113" s="131"/>
      <c r="I113" s="131"/>
      <c r="J113" s="131"/>
      <c r="K113" s="36"/>
    </row>
    <row r="114" spans="1:11" ht="15" hidden="1" customHeight="1" x14ac:dyDescent="0.3">
      <c r="A114" s="207" t="s">
        <v>203</v>
      </c>
      <c r="B114" s="207" t="s">
        <v>204</v>
      </c>
      <c r="C114" s="207"/>
      <c r="D114" s="207"/>
      <c r="E114" s="207" t="s">
        <v>149</v>
      </c>
      <c r="F114" s="129"/>
      <c r="G114" s="152">
        <v>2.1565440000000002</v>
      </c>
      <c r="H114" s="135"/>
      <c r="I114" s="135"/>
      <c r="J114" s="135"/>
      <c r="K114" s="136"/>
    </row>
    <row r="115" spans="1:11" ht="15" hidden="1" customHeight="1" x14ac:dyDescent="0.3">
      <c r="A115" s="207"/>
      <c r="B115" s="207" t="s">
        <v>205</v>
      </c>
      <c r="C115" s="207"/>
      <c r="D115" s="207"/>
      <c r="E115" s="207"/>
      <c r="F115" s="129"/>
      <c r="G115" s="142"/>
      <c r="H115" s="137"/>
      <c r="I115" s="1"/>
      <c r="J115" s="1"/>
      <c r="K115" s="138"/>
    </row>
    <row r="116" spans="1:11" ht="15" hidden="1" customHeight="1" x14ac:dyDescent="0.3">
      <c r="A116" s="128"/>
      <c r="B116" s="128"/>
      <c r="C116" s="128"/>
      <c r="D116" s="128"/>
      <c r="E116" s="128"/>
      <c r="F116" s="129"/>
      <c r="G116" s="142"/>
      <c r="H116" s="139"/>
      <c r="I116" s="140"/>
      <c r="J116" s="140"/>
      <c r="K116" s="141"/>
    </row>
    <row r="117" spans="1:11" ht="15" hidden="1" customHeight="1" x14ac:dyDescent="0.3">
      <c r="A117" s="1"/>
      <c r="B117" s="1"/>
      <c r="C117" s="1"/>
      <c r="D117" s="1"/>
      <c r="E117" s="1"/>
      <c r="F117" s="142"/>
      <c r="G117" s="142"/>
      <c r="H117" s="143"/>
      <c r="I117" s="154"/>
      <c r="J117" s="144"/>
      <c r="K117" s="145"/>
    </row>
    <row r="118" spans="1:11" hidden="1" x14ac:dyDescent="0.3"/>
    <row r="119" spans="1:11" hidden="1" x14ac:dyDescent="0.3"/>
  </sheetData>
  <sheetProtection algorithmName="SHA-512" hashValue="bBVOqiRj9ihJ0qqNwbTg8167EB/fweU6U49NyOs+Gl5+TIcP6V/P0HO62ZAYv1LmsUmU9IpIcCGAqrdTE+bcEA==" saltValue="zKIhavhzlDtODYnEbPveZQ==" spinCount="100000" sheet="1" objects="1" scenarios="1" selectLockedCells="1"/>
  <mergeCells count="6">
    <mergeCell ref="J61:K61"/>
    <mergeCell ref="A21:D21"/>
    <mergeCell ref="A22:D22"/>
    <mergeCell ref="A23:D23"/>
    <mergeCell ref="A36:B36"/>
    <mergeCell ref="K36:L36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MODULO</vt:lpstr>
      <vt:lpstr>A</vt:lpstr>
      <vt:lpstr>CARTELLINO!Area_stampa</vt:lpstr>
      <vt:lpstr>DATI!Area_stampa</vt:lpstr>
      <vt:lpstr>MODULO!Area_stampa</vt:lpstr>
      <vt:lpstr>netti!Area_stampa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Rho</dc:creator>
  <cp:lastModifiedBy>Enrico Rho</cp:lastModifiedBy>
  <cp:lastPrinted>2026-03-10T15:26:49Z</cp:lastPrinted>
  <dcterms:created xsi:type="dcterms:W3CDTF">2021-09-03T15:02:59Z</dcterms:created>
  <dcterms:modified xsi:type="dcterms:W3CDTF">2026-05-14T09:59:44Z</dcterms:modified>
</cp:coreProperties>
</file>