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T:\MODULI EXCEL per CLIENTI\"/>
    </mc:Choice>
  </mc:AlternateContent>
  <xr:revisionPtr revIDLastSave="0" documentId="13_ncr:1_{D65CB6A3-B957-4451-9541-22023102CC8A}" xr6:coauthVersionLast="47" xr6:coauthVersionMax="47" xr10:uidLastSave="{00000000-0000-0000-0000-000000000000}"/>
  <workbookProtection workbookAlgorithmName="SHA-512" workbookHashValue="sP5xUhMObNcr5Wt34CleDj7dPDasFEWlRsWrF8QKoFHNv0CNBXDU4g4c0tqg/x/km1pVsaU68qWleMjZ5qrQfA==" workbookSaltValue="k6j/EyqCv2G+WiWlzZC6Mw==" workbookSpinCount="100000" lockStructure="1"/>
  <bookViews>
    <workbookView xWindow="28692" yWindow="-3600" windowWidth="29016" windowHeight="16416" xr2:uid="{00000000-000D-0000-FFFF-FFFF00000000}"/>
  </bookViews>
  <sheets>
    <sheet name="MODULO" sheetId="5" r:id="rId1"/>
    <sheet name="CARTELLINO 4righe" sheetId="11" state="veryHidden" r:id="rId2"/>
    <sheet name="CARTELLINO 10righe" sheetId="12" state="veryHidden" r:id="rId3"/>
    <sheet name="DATI" sheetId="8" state="veryHidden" r:id="rId4"/>
    <sheet name="Foglio2" sheetId="14" state="veryHidden" r:id="rId5"/>
    <sheet name="Foglio1" sheetId="15" state="veryHidden" r:id="rId6"/>
  </sheets>
  <definedNames>
    <definedName name="A_ROTELLA">Foglio2!$S$2:$S$21</definedName>
    <definedName name="A_ROTELLA_GRIGIA">Foglio2!$G$2</definedName>
    <definedName name="ALTRO">Foglio2!$V$2:$V$18</definedName>
    <definedName name="_xlnm.Print_Area" localSheetId="2">'CARTELLINO 10righe'!$Y$11:$BH$111</definedName>
    <definedName name="_xlnm.Print_Area" localSheetId="1">'CARTELLINO 4righe'!$Y$11:$BH$65</definedName>
    <definedName name="_xlnm.Print_Area" localSheetId="3">DATI!$A$1:$AR$26</definedName>
    <definedName name="_xlnm.Print_Area" localSheetId="0">MODULO!$P$4:$BG$37</definedName>
    <definedName name="BIANCO">DATI!$G$29:$G$38</definedName>
    <definedName name="BLUM">Foglio2!$AI$2:$AI$5</definedName>
    <definedName name="BLUM____________________________________________________DEL_CLIENTE">Foglio2!$P$2:$P$19</definedName>
    <definedName name="DARE_GUIDE">Foglio2!$A$2:$A$3</definedName>
    <definedName name="FAGGIO_LUCIDO">DATI!$F$29:$F$37</definedName>
    <definedName name="FORATURE">INDEX(DATI!$P$23:$S$23,MATCH(MODULO!$U$17,DATI!$P$24:$S$24,0))</definedName>
    <definedName name="FRASSINO_SBIANCATO_BORDATO">DATI!$K$29:$K$38</definedName>
    <definedName name="GRASS">Foglio2!$R$2:$R$18</definedName>
    <definedName name="HETTICH_ACTRO_YOU">Foglio2!$F$2:$F$3</definedName>
    <definedName name="HETTICH_ACTRO_YOU___________________________DEL_CLIENTE">Foglio2!$T$2:$T$18</definedName>
    <definedName name="HETTICH_QUADRO">Foglio2!$E$2:$E$4</definedName>
    <definedName name="HETTICH_QUADRO________________________________DEL_CLIENTE">Foglio2!$U$2:$U$19</definedName>
    <definedName name="HETTICH_QUADRO_4D">Foglio2!$D$2:$D$3</definedName>
    <definedName name="LAMINATO_BIANCO">DATI!$C$29:$C$38</definedName>
    <definedName name="LATI">INDEX(DATI!$L$21:$O$21,MATCH(MODULO!$U$17,DATI!$L$22:$O$22,0))</definedName>
    <definedName name="MATERIALE">DATI!$A$2:$A$3</definedName>
    <definedName name="MULTISTRATO">DATI!$B$2:$B$6</definedName>
    <definedName name="NERO">DATI!$H$29:$H$38</definedName>
    <definedName name="NO">Foglio2!$B$2:$B$8</definedName>
    <definedName name="NOBILITATO">DATI!$C$2:$C$5</definedName>
    <definedName name="PELLE_ANTRACITE">DATI!$I$29:$I$38</definedName>
    <definedName name="ROVERE_GREZZO">DATI!$E$29:$E$37</definedName>
    <definedName name="ROVERE_VERNICIATO">DATI!$D$29:$D$37</definedName>
    <definedName name="SALICE">Foglio2!$Q$2:$Q$11</definedName>
    <definedName name="SBIANCATO_BORDATO">DATI!$B$29:$B$38</definedName>
    <definedName name="SBIANCATO_NO_BORDO">DATI!$A$29:$A$38</definedName>
    <definedName name="SEMPL.">Foglio2!$L$2:$L$7</definedName>
    <definedName name="SEMPL._C._SS">Foglio2!$K$2:$K$8</definedName>
    <definedName name="SI">Foglio2!$C$2:$C$6</definedName>
    <definedName name="TESSUTO_ANTRACITE">DATI!$L$29:$L$38</definedName>
    <definedName name="TESSUTO_TORTORA">DATI!$J$29:$J$38</definedName>
    <definedName name="TOT._AMM.">Foglio2!$AJ$2:$AJ$15</definedName>
    <definedName name="TOT._AMM._5_REG.">Foglio2!$AK$2:$AK$15</definedName>
    <definedName name="TOT._AMM._5_REG._PUSH">Foglio2!$AM$3:$AM$15</definedName>
    <definedName name="TOT._AMM._PUSH">Foglio2!$AL$3:$AL$15</definedName>
    <definedName name="TOT._C._PUSH_4D">Foglio2!$I$2:$I$9</definedName>
    <definedName name="TOT._C._SS">Foglio2!$M$2:$M$14</definedName>
    <definedName name="TOT._C._SS_4D">Foglio2!$H$2:$H$9</definedName>
    <definedName name="TOT._C._SS_ACTRO">Foglio2!$N$2:$N$9</definedName>
    <definedName name="TOT._C._SS_PUSH_ACTRO">Foglio2!$O$2:$O$9</definedName>
    <definedName name="TOT._PUSH">Foglio2!$J$2:$J$8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5" l="1"/>
  <c r="K60" i="15"/>
  <c r="K61" i="15"/>
  <c r="K62" i="15"/>
  <c r="K63" i="15"/>
  <c r="K64" i="15"/>
  <c r="K65" i="15"/>
  <c r="K66" i="15"/>
  <c r="K67" i="15"/>
  <c r="K68" i="15"/>
  <c r="K69" i="15"/>
  <c r="K70" i="15"/>
  <c r="K72" i="15"/>
  <c r="K57" i="15"/>
  <c r="O6" i="15"/>
  <c r="Y13" i="12"/>
  <c r="AE12" i="12"/>
  <c r="BD11" i="12"/>
  <c r="Y13" i="11"/>
  <c r="BD11" i="11"/>
  <c r="P7" i="5"/>
  <c r="AL33" i="5"/>
  <c r="B95" i="14"/>
  <c r="B93" i="14"/>
  <c r="B91" i="14"/>
  <c r="B89" i="14"/>
  <c r="B87" i="14"/>
  <c r="B85" i="14"/>
  <c r="B83" i="14"/>
  <c r="B81" i="14"/>
  <c r="B79" i="14"/>
  <c r="B77" i="14"/>
  <c r="B161" i="15"/>
  <c r="C161" i="15"/>
  <c r="D161" i="15"/>
  <c r="E161" i="15"/>
  <c r="F161" i="15"/>
  <c r="G161" i="15"/>
  <c r="H161" i="15"/>
  <c r="I161" i="15"/>
  <c r="J161" i="15"/>
  <c r="A161" i="15"/>
  <c r="AU64" i="12" l="1"/>
  <c r="AU42" i="11"/>
  <c r="I3" i="8"/>
  <c r="I5" i="8"/>
  <c r="I7" i="8"/>
  <c r="I9" i="8"/>
  <c r="I11" i="8"/>
  <c r="I13" i="8"/>
  <c r="I15" i="8"/>
  <c r="I17" i="8"/>
  <c r="I19" i="8"/>
  <c r="I1" i="8"/>
  <c r="H9" i="8"/>
  <c r="H11" i="8"/>
  <c r="H13" i="8"/>
  <c r="H15" i="8"/>
  <c r="H17" i="8"/>
  <c r="H19" i="8"/>
  <c r="H1" i="8"/>
  <c r="H3" i="8"/>
  <c r="H5" i="8"/>
  <c r="H7" i="8"/>
  <c r="M14" i="8" l="1"/>
  <c r="J3" i="8"/>
  <c r="L3" i="8" s="1"/>
  <c r="J5" i="8"/>
  <c r="L5" i="8" s="1"/>
  <c r="J7" i="8"/>
  <c r="L7" i="8" s="1"/>
  <c r="J9" i="8"/>
  <c r="L9" i="8" s="1"/>
  <c r="J11" i="8"/>
  <c r="L11" i="8" s="1"/>
  <c r="J13" i="8"/>
  <c r="L13" i="8" s="1"/>
  <c r="J15" i="8"/>
  <c r="J17" i="8"/>
  <c r="L17" i="8" s="1"/>
  <c r="J19" i="8"/>
  <c r="L19" i="8" s="1"/>
  <c r="J1" i="8"/>
  <c r="BE35" i="5"/>
  <c r="O112" i="15" l="1"/>
  <c r="O114" i="15"/>
  <c r="O116" i="15"/>
  <c r="O118" i="15"/>
  <c r="O120" i="15"/>
  <c r="O122" i="15"/>
  <c r="O124" i="15"/>
  <c r="O126" i="15"/>
  <c r="O128" i="15"/>
  <c r="O110" i="15"/>
  <c r="O86" i="15"/>
  <c r="O88" i="15"/>
  <c r="O90" i="15"/>
  <c r="O92" i="15"/>
  <c r="O94" i="15"/>
  <c r="O96" i="15"/>
  <c r="O98" i="15"/>
  <c r="O100" i="15"/>
  <c r="O102" i="15"/>
  <c r="O84" i="15"/>
  <c r="O34" i="15"/>
  <c r="O36" i="15"/>
  <c r="O38" i="15"/>
  <c r="O40" i="15"/>
  <c r="O42" i="15"/>
  <c r="O44" i="15"/>
  <c r="O46" i="15"/>
  <c r="O48" i="15"/>
  <c r="O50" i="15"/>
  <c r="O8" i="15"/>
  <c r="O10" i="15"/>
  <c r="O12" i="15"/>
  <c r="O14" i="15"/>
  <c r="O16" i="15"/>
  <c r="O18" i="15"/>
  <c r="O20" i="15"/>
  <c r="O22" i="15"/>
  <c r="O24" i="15"/>
  <c r="O60" i="15"/>
  <c r="O62" i="15"/>
  <c r="O64" i="15"/>
  <c r="O66" i="15"/>
  <c r="O68" i="15"/>
  <c r="O70" i="15"/>
  <c r="O72" i="15"/>
  <c r="O74" i="15"/>
  <c r="O76" i="15"/>
  <c r="T116" i="15" l="1"/>
  <c r="T124" i="15"/>
  <c r="T120" i="15"/>
  <c r="T118" i="15"/>
  <c r="T114" i="15"/>
  <c r="T126" i="15"/>
  <c r="T128" i="15"/>
  <c r="T122" i="15"/>
  <c r="T112" i="15"/>
  <c r="L62" i="15"/>
  <c r="L63" i="15"/>
  <c r="L64" i="15"/>
  <c r="L65" i="15"/>
  <c r="L66" i="15"/>
  <c r="L67" i="15"/>
  <c r="L68" i="15"/>
  <c r="L69" i="15"/>
  <c r="L70" i="15"/>
  <c r="L72" i="15"/>
  <c r="L61" i="15"/>
  <c r="L60" i="15"/>
  <c r="L58" i="15"/>
  <c r="O58" i="15"/>
  <c r="G120" i="15"/>
  <c r="G122" i="15"/>
  <c r="G124" i="15"/>
  <c r="G118" i="15"/>
  <c r="G62" i="15"/>
  <c r="G64" i="15"/>
  <c r="G66" i="15"/>
  <c r="G68" i="15"/>
  <c r="G70" i="15"/>
  <c r="G72" i="15"/>
  <c r="G60" i="15"/>
  <c r="O32" i="15"/>
  <c r="T110" i="15" l="1"/>
  <c r="D3" i="8"/>
  <c r="D5" i="8"/>
  <c r="D7" i="8"/>
  <c r="D9" i="8"/>
  <c r="D11" i="8"/>
  <c r="D13" i="8"/>
  <c r="D15" i="8"/>
  <c r="D17" i="8"/>
  <c r="D19" i="8"/>
  <c r="D1" i="8"/>
  <c r="B94" i="14"/>
  <c r="B92" i="14"/>
  <c r="B90" i="14"/>
  <c r="B88" i="14"/>
  <c r="B86" i="14"/>
  <c r="B84" i="14"/>
  <c r="B82" i="14"/>
  <c r="B80" i="14"/>
  <c r="B78" i="14"/>
  <c r="B76" i="14"/>
  <c r="Q23" i="14"/>
  <c r="Q27" i="14"/>
  <c r="Q26" i="14"/>
  <c r="Q24" i="14" l="1"/>
  <c r="E19" i="8"/>
  <c r="F19" i="8"/>
  <c r="E17" i="8"/>
  <c r="F17" i="8"/>
  <c r="E13" i="8"/>
  <c r="F13" i="8"/>
  <c r="E11" i="8"/>
  <c r="F11" i="8"/>
  <c r="E9" i="8"/>
  <c r="F9" i="8"/>
  <c r="E7" i="8"/>
  <c r="F7" i="8"/>
  <c r="F5" i="8"/>
  <c r="E5" i="8"/>
  <c r="F3" i="8"/>
  <c r="E3" i="8"/>
  <c r="E15" i="8"/>
  <c r="F15" i="8"/>
  <c r="F1" i="8"/>
  <c r="E1" i="8"/>
  <c r="J21" i="8"/>
  <c r="L15" i="8" l="1"/>
  <c r="L1" i="8"/>
  <c r="BA35" i="5"/>
  <c r="BC35" i="5"/>
  <c r="H21" i="8"/>
  <c r="I21" i="8"/>
  <c r="Y34" i="11"/>
  <c r="A40" i="8"/>
  <c r="L38" i="8" s="1"/>
  <c r="J23" i="8" l="1"/>
  <c r="I23" i="8"/>
  <c r="H23" i="8"/>
  <c r="AS35" i="5"/>
  <c r="AW35" i="5"/>
  <c r="AU35" i="5"/>
  <c r="AL35" i="5"/>
  <c r="AP35" i="5"/>
  <c r="AN35" i="5"/>
  <c r="I38" i="8"/>
  <c r="K38" i="8"/>
  <c r="G38" i="8"/>
  <c r="C38" i="8"/>
  <c r="J38" i="8"/>
  <c r="B38" i="8"/>
  <c r="D37" i="8"/>
  <c r="E37" i="8"/>
  <c r="F37" i="8"/>
  <c r="H38" i="8"/>
  <c r="A38" i="8"/>
  <c r="H24" i="8" l="1"/>
  <c r="P12" i="12"/>
  <c r="AE65" i="12" s="1"/>
  <c r="AQ65" i="12" s="1"/>
  <c r="P12" i="11"/>
  <c r="AC111" i="12"/>
  <c r="AC109" i="12"/>
  <c r="AC65" i="11"/>
  <c r="AC63" i="11"/>
  <c r="G3" i="8"/>
  <c r="K3" i="8" s="1"/>
  <c r="G5" i="8"/>
  <c r="K5" i="8" s="1"/>
  <c r="G7" i="8"/>
  <c r="K7" i="8" s="1"/>
  <c r="G9" i="8"/>
  <c r="K9" i="8" s="1"/>
  <c r="G11" i="8"/>
  <c r="K11" i="8" s="1"/>
  <c r="G13" i="8"/>
  <c r="K13" i="8" s="1"/>
  <c r="G15" i="8"/>
  <c r="K15" i="8" s="1"/>
  <c r="G17" i="8"/>
  <c r="K17" i="8" s="1"/>
  <c r="G19" i="8"/>
  <c r="K19" i="8" s="1"/>
  <c r="G1" i="8"/>
  <c r="K1" i="8" s="1"/>
  <c r="G21" i="8" l="1"/>
  <c r="C77" i="14"/>
  <c r="BE37" i="5" l="1"/>
  <c r="BE36" i="5" s="1"/>
  <c r="G23" i="8"/>
  <c r="BC37" i="5"/>
  <c r="BC36" i="5" s="1"/>
  <c r="E21" i="8"/>
  <c r="E23" i="8" s="1"/>
  <c r="F21" i="8"/>
  <c r="BA37" i="5"/>
  <c r="BA36" i="5" s="1"/>
  <c r="AC59" i="12"/>
  <c r="AC57" i="12"/>
  <c r="AW37" i="5" l="1"/>
  <c r="AW36" i="5" s="1"/>
  <c r="F23" i="8"/>
  <c r="E24" i="8" s="1"/>
  <c r="BD34" i="5" s="1"/>
  <c r="BF33" i="5" s="1"/>
  <c r="AP37" i="5"/>
  <c r="AP36" i="5" s="1"/>
  <c r="AL37" i="5"/>
  <c r="AL36" i="5" s="1"/>
  <c r="AS37" i="5"/>
  <c r="AS36" i="5" s="1"/>
  <c r="AU37" i="5"/>
  <c r="AU36" i="5" s="1"/>
  <c r="AN37" i="5"/>
  <c r="AN36" i="5" s="1"/>
  <c r="C83" i="14"/>
  <c r="C76" i="14"/>
  <c r="BD33" i="5" l="1"/>
  <c r="AL34" i="5"/>
  <c r="W53" i="12"/>
  <c r="Q53" i="12"/>
  <c r="P53" i="12"/>
  <c r="L53" i="12" s="1"/>
  <c r="O53" i="12"/>
  <c r="W49" i="12"/>
  <c r="Q49" i="12"/>
  <c r="P49" i="12"/>
  <c r="L49" i="12" s="1"/>
  <c r="O49" i="12"/>
  <c r="W45" i="12"/>
  <c r="Q45" i="12"/>
  <c r="P45" i="12"/>
  <c r="L45" i="12" s="1"/>
  <c r="O45" i="12"/>
  <c r="W41" i="12"/>
  <c r="Q41" i="12"/>
  <c r="P41" i="12"/>
  <c r="L41" i="12" s="1"/>
  <c r="O41" i="12"/>
  <c r="W37" i="12"/>
  <c r="Q37" i="12"/>
  <c r="P37" i="12"/>
  <c r="L37" i="12" s="1"/>
  <c r="O37" i="12"/>
  <c r="BE37" i="12" s="1"/>
  <c r="W33" i="12"/>
  <c r="Q33" i="12"/>
  <c r="P33" i="12"/>
  <c r="L33" i="12" s="1"/>
  <c r="O33" i="12"/>
  <c r="W29" i="12"/>
  <c r="Q29" i="12"/>
  <c r="P29" i="12"/>
  <c r="L29" i="12" s="1"/>
  <c r="O29" i="12"/>
  <c r="BE29" i="12" s="1"/>
  <c r="W25" i="12"/>
  <c r="Q25" i="12"/>
  <c r="P25" i="12"/>
  <c r="L25" i="12" s="1"/>
  <c r="O25" i="12"/>
  <c r="W21" i="12"/>
  <c r="Q21" i="12"/>
  <c r="P21" i="12"/>
  <c r="L21" i="12" s="1"/>
  <c r="O21" i="12"/>
  <c r="BE21" i="12" s="1"/>
  <c r="W17" i="12"/>
  <c r="Q17" i="12"/>
  <c r="P17" i="12"/>
  <c r="L17" i="12" s="1"/>
  <c r="O17" i="12"/>
  <c r="AE61" i="12"/>
  <c r="AC35" i="11"/>
  <c r="AC33" i="11"/>
  <c r="AE12" i="11"/>
  <c r="AE39" i="11" s="1"/>
  <c r="W15" i="12"/>
  <c r="P15" i="12"/>
  <c r="AJ108" i="12" s="1"/>
  <c r="P14" i="12"/>
  <c r="Q11" i="12"/>
  <c r="P11" i="12"/>
  <c r="P10" i="12"/>
  <c r="P9" i="12"/>
  <c r="BD60" i="12" s="1"/>
  <c r="P8" i="12"/>
  <c r="W29" i="11"/>
  <c r="AJ29" i="11" s="1"/>
  <c r="Q29" i="11"/>
  <c r="P29" i="11"/>
  <c r="L29" i="11" s="1"/>
  <c r="O29" i="11"/>
  <c r="W25" i="11"/>
  <c r="Q25" i="11"/>
  <c r="P25" i="11"/>
  <c r="L25" i="11" s="1"/>
  <c r="O25" i="11"/>
  <c r="BE25" i="11" s="1"/>
  <c r="W21" i="11"/>
  <c r="Q21" i="11"/>
  <c r="P21" i="11"/>
  <c r="L21" i="11" s="1"/>
  <c r="O21" i="11"/>
  <c r="W17" i="11"/>
  <c r="Q17" i="11"/>
  <c r="P17" i="11"/>
  <c r="L17" i="11" s="1"/>
  <c r="O17" i="11"/>
  <c r="BE17" i="11" s="1"/>
  <c r="AD11" i="12" l="1"/>
  <c r="AD60" i="12" s="1"/>
  <c r="AX13" i="12"/>
  <c r="AX62" i="12" s="1"/>
  <c r="N21" i="12"/>
  <c r="N53" i="12"/>
  <c r="N45" i="12"/>
  <c r="N41" i="12"/>
  <c r="N37" i="12"/>
  <c r="N33" i="12"/>
  <c r="N29" i="12"/>
  <c r="N25" i="12"/>
  <c r="N49" i="12"/>
  <c r="N17" i="12"/>
  <c r="AJ53" i="12"/>
  <c r="AJ49" i="12"/>
  <c r="AJ45" i="12"/>
  <c r="AJ41" i="12"/>
  <c r="AJ36" i="12"/>
  <c r="AJ32" i="12"/>
  <c r="AJ28" i="12"/>
  <c r="AJ24" i="11"/>
  <c r="AJ24" i="12"/>
  <c r="AJ20" i="11"/>
  <c r="AJ21" i="12"/>
  <c r="BE53" i="12"/>
  <c r="BE52" i="12"/>
  <c r="BE48" i="12"/>
  <c r="BE49" i="12"/>
  <c r="BE45" i="12"/>
  <c r="BE44" i="12"/>
  <c r="BE41" i="12"/>
  <c r="BE40" i="12"/>
  <c r="BE32" i="12"/>
  <c r="BE33" i="12"/>
  <c r="BE28" i="11"/>
  <c r="BE29" i="11"/>
  <c r="BE24" i="12"/>
  <c r="BE25" i="12"/>
  <c r="BE20" i="11"/>
  <c r="BE21" i="11"/>
  <c r="BE16" i="12"/>
  <c r="BE17" i="12"/>
  <c r="BE24" i="11"/>
  <c r="BE20" i="12"/>
  <c r="BE28" i="12"/>
  <c r="BE36" i="12"/>
  <c r="BE16" i="11"/>
  <c r="AE22" i="11"/>
  <c r="AE20" i="11" s="1"/>
  <c r="AE30" i="11"/>
  <c r="AE28" i="11" s="1"/>
  <c r="AE26" i="12"/>
  <c r="AE24" i="12" s="1"/>
  <c r="AE34" i="12"/>
  <c r="AE32" i="12" s="1"/>
  <c r="AE50" i="12"/>
  <c r="AE48" i="12" s="1"/>
  <c r="AE54" i="12"/>
  <c r="AE52" i="12" s="1"/>
  <c r="AE18" i="12"/>
  <c r="AE16" i="12" s="1"/>
  <c r="AJ29" i="12"/>
  <c r="AJ16" i="12"/>
  <c r="AT56" i="12"/>
  <c r="AJ56" i="12"/>
  <c r="AM55" i="12"/>
  <c r="AG55" i="12" s="1"/>
  <c r="BA40" i="12"/>
  <c r="AT108" i="12"/>
  <c r="BA36" i="12"/>
  <c r="BA44" i="12"/>
  <c r="AJ20" i="12"/>
  <c r="AJ52" i="12"/>
  <c r="BA48" i="12"/>
  <c r="AT48" i="12"/>
  <c r="AE42" i="12"/>
  <c r="AE40" i="12" s="1"/>
  <c r="AJ44" i="12"/>
  <c r="AX32" i="12"/>
  <c r="AE46" i="12"/>
  <c r="AE44" i="12" s="1"/>
  <c r="AM19" i="12"/>
  <c r="AJ19" i="12" s="1"/>
  <c r="BA32" i="12"/>
  <c r="AX48" i="12"/>
  <c r="AM31" i="12"/>
  <c r="AJ37" i="12"/>
  <c r="AM51" i="12"/>
  <c r="AT16" i="12"/>
  <c r="AT20" i="12"/>
  <c r="AJ33" i="12"/>
  <c r="AX44" i="12"/>
  <c r="P13" i="12"/>
  <c r="BA16" i="12"/>
  <c r="AX20" i="12"/>
  <c r="AE30" i="12"/>
  <c r="AE28" i="12" s="1"/>
  <c r="AE38" i="12"/>
  <c r="AE36" i="12" s="1"/>
  <c r="AT40" i="12"/>
  <c r="BA52" i="12"/>
  <c r="AJ40" i="12"/>
  <c r="AT44" i="12"/>
  <c r="AM27" i="12"/>
  <c r="AX40" i="12"/>
  <c r="AM47" i="12"/>
  <c r="AT24" i="12"/>
  <c r="AT36" i="12"/>
  <c r="AJ48" i="12"/>
  <c r="AM39" i="12"/>
  <c r="AT52" i="12"/>
  <c r="AX16" i="12"/>
  <c r="AT32" i="12"/>
  <c r="AX36" i="12"/>
  <c r="AM43" i="12"/>
  <c r="AM35" i="12"/>
  <c r="AX52" i="12"/>
  <c r="AJ25" i="12"/>
  <c r="AT28" i="12"/>
  <c r="AE22" i="12"/>
  <c r="AE20" i="12" s="1"/>
  <c r="AX24" i="12"/>
  <c r="AJ17" i="12"/>
  <c r="BA24" i="12"/>
  <c r="BA20" i="12"/>
  <c r="AM23" i="12"/>
  <c r="AX28" i="12"/>
  <c r="BA28" i="12"/>
  <c r="AJ25" i="11"/>
  <c r="AJ28" i="11"/>
  <c r="AJ21" i="11"/>
  <c r="AE26" i="11"/>
  <c r="AE24" i="11" s="1"/>
  <c r="W15" i="11"/>
  <c r="P15" i="11"/>
  <c r="AJ62" i="11" s="1"/>
  <c r="P14" i="11"/>
  <c r="P13" i="11" s="1"/>
  <c r="Q11" i="11"/>
  <c r="P11" i="11"/>
  <c r="P10" i="11"/>
  <c r="AX13" i="11" s="1"/>
  <c r="AX40" i="11" s="1"/>
  <c r="P9" i="11"/>
  <c r="BD38" i="11" s="1"/>
  <c r="P8" i="11"/>
  <c r="AD11" i="11" s="1"/>
  <c r="AD38" i="11" s="1"/>
  <c r="C95" i="14"/>
  <c r="C94" i="14"/>
  <c r="C93" i="14"/>
  <c r="C92" i="14"/>
  <c r="C91" i="14"/>
  <c r="C90" i="14"/>
  <c r="C89" i="14"/>
  <c r="C88" i="14"/>
  <c r="C87" i="14"/>
  <c r="C86" i="14"/>
  <c r="C85" i="14"/>
  <c r="C84" i="14"/>
  <c r="C82" i="14"/>
  <c r="C81" i="14"/>
  <c r="C80" i="14"/>
  <c r="C79" i="14"/>
  <c r="C78" i="14"/>
  <c r="AG30" i="12" l="1"/>
  <c r="AG54" i="12"/>
  <c r="AG42" i="12"/>
  <c r="AG50" i="12"/>
  <c r="AG38" i="12"/>
  <c r="AG26" i="12"/>
  <c r="AG22" i="12"/>
  <c r="AG18" i="12"/>
  <c r="AG46" i="12"/>
  <c r="AG34" i="12"/>
  <c r="AM48" i="12"/>
  <c r="AE102" i="12" s="1"/>
  <c r="AM24" i="12"/>
  <c r="AE78" i="12" s="1"/>
  <c r="AM16" i="11"/>
  <c r="AE48" i="11" s="1"/>
  <c r="AM28" i="11"/>
  <c r="AM36" i="12"/>
  <c r="AE90" i="12" s="1"/>
  <c r="AM16" i="12"/>
  <c r="AM20" i="11"/>
  <c r="AM52" i="12"/>
  <c r="AE106" i="12" s="1"/>
  <c r="AM28" i="12"/>
  <c r="AE82" i="12" s="1"/>
  <c r="AM32" i="12"/>
  <c r="AM20" i="12"/>
  <c r="AE74" i="12" s="1"/>
  <c r="AM40" i="12"/>
  <c r="AE94" i="12" s="1"/>
  <c r="AM24" i="11"/>
  <c r="AM44" i="12"/>
  <c r="AG36" i="12"/>
  <c r="AM37" i="12" s="1"/>
  <c r="AG28" i="12"/>
  <c r="AM29" i="12" s="1"/>
  <c r="AG24" i="12"/>
  <c r="AG20" i="12"/>
  <c r="AM21" i="12" s="1"/>
  <c r="AG48" i="12"/>
  <c r="AG49" i="12" s="1"/>
  <c r="AG44" i="12"/>
  <c r="AM45" i="12" s="1"/>
  <c r="AG32" i="12"/>
  <c r="AM33" i="12" s="1"/>
  <c r="AG40" i="12"/>
  <c r="AM41" i="12" s="1"/>
  <c r="AG52" i="12"/>
  <c r="AG53" i="12" s="1"/>
  <c r="AG16" i="12"/>
  <c r="AM17" i="12" s="1"/>
  <c r="N29" i="11"/>
  <c r="N25" i="11"/>
  <c r="N21" i="11"/>
  <c r="N17" i="11"/>
  <c r="AE51" i="12"/>
  <c r="AJ27" i="12"/>
  <c r="BA28" i="11"/>
  <c r="AE33" i="12"/>
  <c r="AE49" i="12"/>
  <c r="AE53" i="12"/>
  <c r="AE25" i="12"/>
  <c r="AE17" i="12"/>
  <c r="AE31" i="12"/>
  <c r="Y55" i="12"/>
  <c r="AE55" i="12"/>
  <c r="AJ55" i="12"/>
  <c r="BA24" i="11"/>
  <c r="BA20" i="11"/>
  <c r="AT32" i="11"/>
  <c r="AT62" i="11"/>
  <c r="Y108" i="12"/>
  <c r="Y56" i="12"/>
  <c r="AE45" i="12"/>
  <c r="AE41" i="12"/>
  <c r="AE37" i="12"/>
  <c r="Y51" i="12"/>
  <c r="AG51" i="12"/>
  <c r="AJ51" i="12"/>
  <c r="Y19" i="12"/>
  <c r="AE21" i="12"/>
  <c r="Y31" i="12"/>
  <c r="AJ31" i="12"/>
  <c r="AG19" i="12"/>
  <c r="AE19" i="12"/>
  <c r="Y35" i="12"/>
  <c r="AE35" i="12"/>
  <c r="AJ35" i="12"/>
  <c r="AE29" i="12"/>
  <c r="AG27" i="12"/>
  <c r="Y27" i="12"/>
  <c r="AE27" i="12"/>
  <c r="Y47" i="12"/>
  <c r="AE47" i="12"/>
  <c r="AJ47" i="12"/>
  <c r="Y39" i="12"/>
  <c r="AE39" i="12"/>
  <c r="AJ39" i="12"/>
  <c r="Y43" i="12"/>
  <c r="AJ43" i="12"/>
  <c r="AE43" i="12"/>
  <c r="AJ23" i="12"/>
  <c r="AE23" i="12"/>
  <c r="Y23" i="12"/>
  <c r="AJ32" i="11"/>
  <c r="AT20" i="11"/>
  <c r="AT28" i="11"/>
  <c r="AT24" i="11"/>
  <c r="AX16" i="11"/>
  <c r="AM27" i="11"/>
  <c r="AX20" i="11"/>
  <c r="AE21" i="11" s="1"/>
  <c r="AM31" i="11"/>
  <c r="AX24" i="11"/>
  <c r="AE25" i="11" s="1"/>
  <c r="AM23" i="11"/>
  <c r="AX28" i="11"/>
  <c r="AE29" i="11" s="1"/>
  <c r="AM19" i="11"/>
  <c r="Y62" i="11"/>
  <c r="P26" i="8"/>
  <c r="AO106" i="12"/>
  <c r="AI106" i="12"/>
  <c r="Y106" i="12"/>
  <c r="AO102" i="12"/>
  <c r="AI102" i="12"/>
  <c r="Y102" i="12"/>
  <c r="AO98" i="12"/>
  <c r="AI98" i="12"/>
  <c r="Y98" i="12"/>
  <c r="AO94" i="12"/>
  <c r="AI94" i="12"/>
  <c r="Y94" i="12"/>
  <c r="AO90" i="12"/>
  <c r="AI90" i="12"/>
  <c r="Y90" i="12"/>
  <c r="AO86" i="12"/>
  <c r="AI86" i="12"/>
  <c r="Y86" i="12"/>
  <c r="AO82" i="12"/>
  <c r="AI82" i="12"/>
  <c r="Y82" i="12"/>
  <c r="AO78" i="12"/>
  <c r="AI78" i="12"/>
  <c r="Y78" i="12"/>
  <c r="AO74" i="12"/>
  <c r="AI74" i="12"/>
  <c r="Y74" i="12"/>
  <c r="AO70" i="12"/>
  <c r="AI70" i="12"/>
  <c r="Y70" i="12"/>
  <c r="AE68" i="12"/>
  <c r="AQ68" i="12" s="1"/>
  <c r="AE67" i="12"/>
  <c r="AE66" i="12"/>
  <c r="AK64" i="12"/>
  <c r="AE64" i="12"/>
  <c r="AQ106" i="12"/>
  <c r="AQ102" i="12"/>
  <c r="AQ98" i="12"/>
  <c r="AQ94" i="12"/>
  <c r="AQ90" i="12"/>
  <c r="AQ86" i="12"/>
  <c r="AQ82" i="12"/>
  <c r="AQ78" i="12"/>
  <c r="AQ74" i="12"/>
  <c r="AQ70" i="12"/>
  <c r="AO60" i="11"/>
  <c r="AI60" i="11"/>
  <c r="Y60" i="11"/>
  <c r="AO56" i="11"/>
  <c r="AI56" i="11"/>
  <c r="Y56" i="11"/>
  <c r="AO52" i="11"/>
  <c r="AI52" i="11"/>
  <c r="Y52" i="11"/>
  <c r="AO48" i="11"/>
  <c r="AI48" i="11"/>
  <c r="Y48" i="11"/>
  <c r="AE46" i="11"/>
  <c r="AQ46" i="11" s="1"/>
  <c r="AE45" i="11"/>
  <c r="AE43" i="11"/>
  <c r="AQ43" i="11" s="1"/>
  <c r="AK42" i="11"/>
  <c r="AE42" i="11"/>
  <c r="AQ60" i="11"/>
  <c r="AQ56" i="11"/>
  <c r="AQ52" i="11"/>
  <c r="AE18" i="11"/>
  <c r="AE16" i="11" s="1"/>
  <c r="AJ17" i="11"/>
  <c r="AQ48" i="11" s="1"/>
  <c r="BA16" i="11"/>
  <c r="AT16" i="11"/>
  <c r="AJ16" i="11"/>
  <c r="AG30" i="11" l="1"/>
  <c r="AG18" i="11"/>
  <c r="AG26" i="11"/>
  <c r="AG22" i="11"/>
  <c r="AB16" i="12"/>
  <c r="AM53" i="12"/>
  <c r="AQ54" i="12" s="1"/>
  <c r="AM25" i="12"/>
  <c r="AB24" i="12" s="1"/>
  <c r="AB27" i="12" s="1"/>
  <c r="AM49" i="12"/>
  <c r="AB48" i="12" s="1"/>
  <c r="AB51" i="12" s="1"/>
  <c r="Q45" i="11"/>
  <c r="M21" i="11" s="1"/>
  <c r="AG25" i="12"/>
  <c r="AG24" i="11"/>
  <c r="AM25" i="11" s="1"/>
  <c r="AG28" i="11"/>
  <c r="AM29" i="11" s="1"/>
  <c r="AG20" i="11"/>
  <c r="AM21" i="11" s="1"/>
  <c r="AG17" i="12"/>
  <c r="AM18" i="12"/>
  <c r="AG16" i="11"/>
  <c r="AM17" i="11" s="1"/>
  <c r="AM50" i="12"/>
  <c r="Q67" i="12"/>
  <c r="M41" i="12" s="1"/>
  <c r="AM46" i="12"/>
  <c r="AM38" i="12"/>
  <c r="AM22" i="12"/>
  <c r="AM34" i="12"/>
  <c r="AM30" i="12"/>
  <c r="AM26" i="12"/>
  <c r="AM54" i="12"/>
  <c r="AM42" i="12"/>
  <c r="AB36" i="12"/>
  <c r="AB39" i="12" s="1"/>
  <c r="AQ22" i="12"/>
  <c r="AQ34" i="12"/>
  <c r="AQ30" i="12"/>
  <c r="AB44" i="12"/>
  <c r="AB47" i="12" s="1"/>
  <c r="AB40" i="12"/>
  <c r="AB43" i="12" s="1"/>
  <c r="W70" i="12"/>
  <c r="W90" i="12"/>
  <c r="W82" i="12"/>
  <c r="W74" i="12"/>
  <c r="W98" i="12"/>
  <c r="W102" i="12"/>
  <c r="W106" i="12"/>
  <c r="W78" i="12"/>
  <c r="W94" i="12"/>
  <c r="W86" i="12"/>
  <c r="AG43" i="12"/>
  <c r="AG35" i="12"/>
  <c r="AG31" i="12"/>
  <c r="W60" i="11"/>
  <c r="W56" i="11"/>
  <c r="W52" i="11"/>
  <c r="W48" i="11"/>
  <c r="AG39" i="12"/>
  <c r="AG21" i="12"/>
  <c r="AG29" i="12"/>
  <c r="AG41" i="12"/>
  <c r="AG23" i="12"/>
  <c r="AG47" i="12"/>
  <c r="AE17" i="11"/>
  <c r="AG45" i="12"/>
  <c r="AG33" i="12"/>
  <c r="AG37" i="12"/>
  <c r="Y32" i="11"/>
  <c r="AE52" i="11"/>
  <c r="Y31" i="11"/>
  <c r="AJ31" i="11"/>
  <c r="AE31" i="11"/>
  <c r="Y27" i="11"/>
  <c r="AJ27" i="11"/>
  <c r="AE27" i="11"/>
  <c r="AG27" i="11"/>
  <c r="Y23" i="11"/>
  <c r="AJ23" i="11"/>
  <c r="AE23" i="11"/>
  <c r="AE60" i="11"/>
  <c r="AE56" i="11"/>
  <c r="AE44" i="11"/>
  <c r="AE19" i="11"/>
  <c r="AJ19" i="11"/>
  <c r="AG19" i="11"/>
  <c r="Y19" i="11"/>
  <c r="AE86" i="12"/>
  <c r="AE98" i="12"/>
  <c r="AE70" i="12"/>
  <c r="AQ26" i="12" l="1"/>
  <c r="AQ18" i="12"/>
  <c r="AB52" i="12"/>
  <c r="AB55" i="12" s="1"/>
  <c r="AQ50" i="12"/>
  <c r="AQ18" i="11"/>
  <c r="AG17" i="11"/>
  <c r="AM18" i="11"/>
  <c r="M29" i="11"/>
  <c r="M25" i="11"/>
  <c r="M25" i="12"/>
  <c r="M17" i="12"/>
  <c r="M29" i="12"/>
  <c r="M21" i="12"/>
  <c r="Q82" i="12"/>
  <c r="M37" i="12"/>
  <c r="M33" i="12"/>
  <c r="M45" i="12"/>
  <c r="M49" i="12"/>
  <c r="M53" i="12"/>
  <c r="Q98" i="12"/>
  <c r="Q102" i="12"/>
  <c r="Q86" i="12"/>
  <c r="Q106" i="12"/>
  <c r="Q90" i="12"/>
  <c r="Q78" i="12"/>
  <c r="Q94" i="12"/>
  <c r="Q74" i="12"/>
  <c r="Q48" i="11"/>
  <c r="M17" i="11"/>
  <c r="Q60" i="11"/>
  <c r="Q70" i="12"/>
  <c r="AM30" i="11"/>
  <c r="N68" i="11"/>
  <c r="AM26" i="11"/>
  <c r="AM22" i="11"/>
  <c r="AQ46" i="12"/>
  <c r="AB32" i="12"/>
  <c r="AK86" i="12" s="1"/>
  <c r="AG31" i="11"/>
  <c r="AQ26" i="11"/>
  <c r="AG23" i="11"/>
  <c r="AQ42" i="12"/>
  <c r="AB28" i="12"/>
  <c r="AK82" i="12" s="1"/>
  <c r="AB20" i="12"/>
  <c r="AK74" i="12" s="1"/>
  <c r="AK70" i="12"/>
  <c r="AB19" i="12"/>
  <c r="AQ38" i="12"/>
  <c r="AK98" i="12"/>
  <c r="AG21" i="11"/>
  <c r="AG29" i="11"/>
  <c r="AB28" i="11"/>
  <c r="AB31" i="11" s="1"/>
  <c r="AG25" i="11"/>
  <c r="AQ22" i="11"/>
  <c r="AK102" i="12"/>
  <c r="AK78" i="12"/>
  <c r="AK94" i="12"/>
  <c r="Q56" i="11"/>
  <c r="Q52" i="11"/>
  <c r="AB16" i="11" l="1"/>
  <c r="AK48" i="11" s="1"/>
  <c r="BC94" i="12"/>
  <c r="BR94" i="12"/>
  <c r="BC52" i="11"/>
  <c r="BR52" i="11"/>
  <c r="BR56" i="11"/>
  <c r="BC56" i="11"/>
  <c r="BR74" i="12"/>
  <c r="BC74" i="12"/>
  <c r="BR82" i="12"/>
  <c r="BC82" i="12"/>
  <c r="BR78" i="12"/>
  <c r="BC78" i="12"/>
  <c r="BR90" i="12"/>
  <c r="BC90" i="12"/>
  <c r="BR106" i="12"/>
  <c r="BC106" i="12"/>
  <c r="BR86" i="12"/>
  <c r="BC86" i="12"/>
  <c r="BR102" i="12"/>
  <c r="BC102" i="12"/>
  <c r="BC98" i="12"/>
  <c r="BR98" i="12"/>
  <c r="BR70" i="12"/>
  <c r="BC70" i="12"/>
  <c r="BR60" i="11"/>
  <c r="BC60" i="11"/>
  <c r="BC48" i="11"/>
  <c r="AW48" i="11" s="1"/>
  <c r="BR48" i="11"/>
  <c r="AB35" i="12"/>
  <c r="AB31" i="12"/>
  <c r="AB23" i="12"/>
  <c r="AB24" i="11"/>
  <c r="AK56" i="11" s="1"/>
  <c r="AK106" i="12"/>
  <c r="AK90" i="12"/>
  <c r="AB20" i="11"/>
  <c r="AQ30" i="11"/>
  <c r="AB19" i="11"/>
  <c r="AK60" i="11"/>
  <c r="BL74" i="12" l="1"/>
  <c r="BJ74" i="12" s="1"/>
  <c r="BL106" i="12"/>
  <c r="BJ106" i="12" s="1"/>
  <c r="BF27" i="5" s="1"/>
  <c r="BL86" i="12"/>
  <c r="BJ86" i="12" s="1"/>
  <c r="BF17" i="5" s="1"/>
  <c r="BL102" i="12"/>
  <c r="BJ102" i="12" s="1"/>
  <c r="BL90" i="12"/>
  <c r="BJ90" i="12" s="1"/>
  <c r="BF19" i="5" s="1"/>
  <c r="BL60" i="11"/>
  <c r="BJ60" i="11" s="1"/>
  <c r="BL82" i="12"/>
  <c r="BJ82" i="12" s="1"/>
  <c r="BF15" i="5" s="1"/>
  <c r="BL78" i="12"/>
  <c r="BJ78" i="12" s="1"/>
  <c r="BF13" i="5" s="1"/>
  <c r="BL56" i="11"/>
  <c r="BJ56" i="11" s="1"/>
  <c r="BL52" i="11"/>
  <c r="BJ52" i="11" s="1"/>
  <c r="BL98" i="12"/>
  <c r="BJ98" i="12" s="1"/>
  <c r="BF23" i="5" s="1"/>
  <c r="BL94" i="12"/>
  <c r="BJ94" i="12" s="1"/>
  <c r="BF21" i="5" s="1"/>
  <c r="AW52" i="11"/>
  <c r="BL70" i="12"/>
  <c r="BJ70" i="12" s="1"/>
  <c r="AW56" i="11"/>
  <c r="AW94" i="12"/>
  <c r="AW86" i="12"/>
  <c r="AW70" i="12"/>
  <c r="AW74" i="12"/>
  <c r="AW90" i="12"/>
  <c r="AW60" i="11"/>
  <c r="AW82" i="12"/>
  <c r="AW106" i="12"/>
  <c r="BL48" i="11"/>
  <c r="BJ48" i="11" s="1"/>
  <c r="AW98" i="12"/>
  <c r="AW102" i="12"/>
  <c r="AW78" i="12"/>
  <c r="AB27" i="11"/>
  <c r="BF25" i="5"/>
  <c r="AK52" i="11"/>
  <c r="AB23" i="11"/>
  <c r="BF11" i="5" l="1"/>
  <c r="BF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Enrico Rho</author>
  </authors>
  <commentList>
    <comment ref="D1" authorId="0" shapeId="0" xr:uid="{B9F63D76-1244-44F8-B666-05BACE864EB6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KG / PESO CASSETTO A PIENO CARICO</t>
        </r>
      </text>
    </comment>
    <comment ref="E1" authorId="0" shapeId="0" xr:uid="{9712B918-99A0-4D29-BAB0-7E39AD3F1A0D}">
      <text>
        <r>
          <rPr>
            <sz val="11"/>
            <color indexed="81"/>
            <rFont val="Tahoma"/>
            <family val="2"/>
          </rPr>
          <t>HETTICH ACTRO YOU CON PUSH</t>
        </r>
      </text>
    </comment>
    <comment ref="F1" authorId="0" shapeId="0" xr:uid="{FB04C332-BC62-4127-866C-603679889E22}">
      <text>
        <r>
          <rPr>
            <sz val="11"/>
            <color indexed="81"/>
            <rFont val="Tahoma"/>
            <family val="2"/>
          </rPr>
          <t>HETTICH ACTRO YOU CON PUSH</t>
        </r>
      </text>
    </comment>
    <comment ref="G1" authorId="0" shapeId="0" xr:uid="{A46B9823-D580-45D7-BC78-629C9A7EE6DD}">
      <text>
        <r>
          <rPr>
            <sz val="11"/>
            <color indexed="81"/>
            <rFont val="Tahoma"/>
            <family val="2"/>
          </rPr>
          <t>HETTICH ACTRO YOU CON PUSH</t>
        </r>
      </text>
    </comment>
    <comment ref="H1" authorId="0" shapeId="0" xr:uid="{A6972830-7E68-445B-9059-1F0D016A2C2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BLUM PUSH</t>
        </r>
      </text>
    </comment>
    <comment ref="I1" authorId="0" shapeId="0" xr:uid="{F7DB0DCC-FF28-408A-A967-084B973D8EA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BLUM PUSH</t>
        </r>
      </text>
    </comment>
    <comment ref="J1" authorId="0" shapeId="0" xr:uid="{533B07BE-EDAC-488D-9298-54ECB8D3A199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BLUM PUSH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197490-8992-4601-8839-F2627D1D5782}" keepAlive="1" name="Query - Tabella1" description="Connessione alla query 'Tabella1' nella cartella di lavoro." type="5" refreshedVersion="6" background="1">
    <dbPr connection="Provider=Microsoft.Mashup.OleDb.1;Data Source=$Workbook$;Location=Tabella1;Extended Properties=&quot;&quot;" command="SELECT * FROM [Tabella1]"/>
  </connection>
  <connection id="2" xr16:uid="{37447139-9972-4A87-BC7E-EDB3BF38ED40}" keepAlive="1" name="Query - Tabella2" description="Connessione alla query 'Tabella2' nella cartella di lavoro." type="5" refreshedVersion="6" background="1">
    <dbPr connection="Provider=Microsoft.Mashup.OleDb.1;Data Source=$Workbook$;Location=Tabella2;Extended Properties=&quot;&quot;" command="SELECT * FROM [Tabella2]"/>
  </connection>
</connections>
</file>

<file path=xl/sharedStrings.xml><?xml version="1.0" encoding="utf-8"?>
<sst xmlns="http://schemas.openxmlformats.org/spreadsheetml/2006/main" count="684" uniqueCount="172">
  <si>
    <t>SPONDA</t>
  </si>
  <si>
    <t>RETRO/FRONT.</t>
  </si>
  <si>
    <t>FONDO</t>
  </si>
  <si>
    <t>Q.TA'</t>
  </si>
  <si>
    <t>SPESS.</t>
  </si>
  <si>
    <t>ALT.</t>
  </si>
  <si>
    <t>MISURA</t>
  </si>
  <si>
    <t xml:space="preserve">TIPO </t>
  </si>
  <si>
    <t xml:space="preserve">LATI </t>
  </si>
  <si>
    <t>TINTA</t>
  </si>
  <si>
    <t>GUIDE</t>
  </si>
  <si>
    <t>X</t>
  </si>
  <si>
    <t>CLIENTE :</t>
  </si>
  <si>
    <t>DATA ORDINE :</t>
  </si>
  <si>
    <t>CONSEGNA :</t>
  </si>
  <si>
    <t>RIF. :</t>
  </si>
  <si>
    <t>A</t>
  </si>
  <si>
    <t>B</t>
  </si>
  <si>
    <t>C</t>
  </si>
  <si>
    <t>D</t>
  </si>
  <si>
    <t>VANO INTERNO</t>
  </si>
  <si>
    <t>NOTE :</t>
  </si>
  <si>
    <t>E</t>
  </si>
  <si>
    <t>F</t>
  </si>
  <si>
    <t>G</t>
  </si>
  <si>
    <t>H</t>
  </si>
  <si>
    <t>I</t>
  </si>
  <si>
    <t>L</t>
  </si>
  <si>
    <t>PROF. GUIDA</t>
  </si>
  <si>
    <t>H. SPONDA</t>
  </si>
  <si>
    <t>BIANCO</t>
  </si>
  <si>
    <t>NO</t>
  </si>
  <si>
    <t>PALISSANDRO GREZZO</t>
  </si>
  <si>
    <t>FONDO ROVERE (MDF PLACCATO) Sp.8 mm.</t>
  </si>
  <si>
    <t>FONDO FAGGIO (MDF PLACCATO) Sp.5 mm.</t>
  </si>
  <si>
    <t>MONTAGGIO CASSETTO</t>
  </si>
  <si>
    <t>GUIDA ESTR.SEMPLICE APPLICATA AL CASS. (mm.250/600)</t>
  </si>
  <si>
    <t>PER CASSETTO C/FRONTALE RIPORTATO</t>
  </si>
  <si>
    <t>PER CASSETTO C/SCASSO LAVELLO - MIN. 10 PZ</t>
  </si>
  <si>
    <t>Lucido</t>
  </si>
  <si>
    <t>Grezzo</t>
  </si>
  <si>
    <t>Sp. 8 mm.</t>
  </si>
  <si>
    <t>costo 4lati+20%</t>
  </si>
  <si>
    <t>MATERIALE</t>
  </si>
  <si>
    <t>LATI</t>
  </si>
  <si>
    <t>FORI FRONTALE</t>
  </si>
  <si>
    <t>BLUM</t>
  </si>
  <si>
    <t>GRASS</t>
  </si>
  <si>
    <t>FINITURA</t>
  </si>
  <si>
    <t>NERO</t>
  </si>
  <si>
    <t>NOBILITATO</t>
  </si>
  <si>
    <t>MULTISTRATO</t>
  </si>
  <si>
    <t>3 CON FRONTALE</t>
  </si>
  <si>
    <t>SI</t>
  </si>
  <si>
    <t>€  CAD.</t>
  </si>
  <si>
    <t>PRED. GUIDA</t>
  </si>
  <si>
    <t>A ROTELLA VPA GRIGIA</t>
  </si>
  <si>
    <t>MONTATO</t>
  </si>
  <si>
    <t>SALICE</t>
  </si>
  <si>
    <t>€ / SPONDE</t>
  </si>
  <si>
    <t>€ / FONDO</t>
  </si>
  <si>
    <t>€  TOT.</t>
  </si>
  <si>
    <t>MISURA CASS.</t>
  </si>
  <si>
    <t>PROF. CASS.</t>
  </si>
  <si>
    <t>CLIENTE</t>
  </si>
  <si>
    <t>DATA</t>
  </si>
  <si>
    <t>RIF.</t>
  </si>
  <si>
    <t>PROFONDITA' PER CALCOLO PREZZO</t>
  </si>
  <si>
    <t>SU RICHIESTA</t>
  </si>
  <si>
    <t>RIFERIMENTO</t>
  </si>
  <si>
    <t>COD.</t>
  </si>
  <si>
    <t>CASSETTI LEGNO</t>
  </si>
  <si>
    <t>DARE GUIDE</t>
  </si>
  <si>
    <t>SFILABILE DIETRO</t>
  </si>
  <si>
    <t>SFILABILE DAVANTI</t>
  </si>
  <si>
    <t>4 LATI CON FORI</t>
  </si>
  <si>
    <t>3 LATI</t>
  </si>
  <si>
    <t>4 SENZA FORI</t>
  </si>
  <si>
    <t>HETTICH QUADRO</t>
  </si>
  <si>
    <t>ESTRAZIONE</t>
  </si>
  <si>
    <t>HETTICH ACTRO YOU</t>
  </si>
  <si>
    <t>HETTICH QUADRO 4D</t>
  </si>
  <si>
    <t>PORTATA</t>
  </si>
  <si>
    <t>PROFONDITA'</t>
  </si>
  <si>
    <t>CITTA'</t>
  </si>
  <si>
    <t>TOT. PUSH</t>
  </si>
  <si>
    <t>PORTATA KG</t>
  </si>
  <si>
    <t>PREDISP. GUIDA</t>
  </si>
  <si>
    <t>A ROTELLA</t>
  </si>
  <si>
    <t>PAESE :</t>
  </si>
  <si>
    <t>SEMPL.</t>
  </si>
  <si>
    <t>RAGIONE SOCIALE</t>
  </si>
  <si>
    <t>INDIRETTO PER TIPOLOGIA D'ESTRAZIONE</t>
  </si>
  <si>
    <t>INDIRETTO PER PROFONDITA' GUIDE NOSTRE E DEI CLIENTI</t>
  </si>
  <si>
    <t>PROFONDITA'  GUIDA     (misura in MM )</t>
  </si>
  <si>
    <t>LARGHEZZA VANO interno mobile (in MM )</t>
  </si>
  <si>
    <t>ALTEZZA SPONDA  (misura in MM )</t>
  </si>
  <si>
    <t xml:space="preserve">CASSETTO    €  CAD. </t>
  </si>
  <si>
    <t>HETTICH ACTRO YOU                           DEL CLIENTE</t>
  </si>
  <si>
    <t>HETTICH QUADRO                                DEL CLIENTE</t>
  </si>
  <si>
    <t>A ROTELLA GRIGIA</t>
  </si>
  <si>
    <t>TOT. C. SS 4D</t>
  </si>
  <si>
    <t>TOT. C. PUSH 4D</t>
  </si>
  <si>
    <t>TOT. C. SS</t>
  </si>
  <si>
    <t>SEMPL. C. SS</t>
  </si>
  <si>
    <t>TOT. C. SS ACTRO</t>
  </si>
  <si>
    <t>TOT. C. SS PUSH ACTRO</t>
  </si>
  <si>
    <t>SBIANCATO NO BORDO</t>
  </si>
  <si>
    <t>SBIANCATO BORDATO</t>
  </si>
  <si>
    <t>LAMINATO BIANCO</t>
  </si>
  <si>
    <t>ROVERE GREZZO</t>
  </si>
  <si>
    <t>FAGGIO LUCIDO</t>
  </si>
  <si>
    <t>FONDO ROVERE (MDF PLACCATO) Sp.15 mm.</t>
  </si>
  <si>
    <t>FONDO PRIMO FIORE  (Antracite)</t>
  </si>
  <si>
    <t>PREDISPOSIZIONE C/FRESATE PER GUIDA A SCOMPARSA:</t>
  </si>
  <si>
    <t>-HETTICH</t>
  </si>
  <si>
    <t>-ALTRE MARCHE</t>
  </si>
  <si>
    <t>costo 4lati+€6,01</t>
  </si>
  <si>
    <t>ALTRO</t>
  </si>
  <si>
    <t>aggiornato a Settembre 2022</t>
  </si>
  <si>
    <t>CASSETTI MONTATI IN LEGNO (prezzi NETTO a M/L)</t>
  </si>
  <si>
    <t>altezza barre</t>
  </si>
  <si>
    <t>FAGGIO MASSELLO GREZZO Sp.14mm</t>
  </si>
  <si>
    <t>FAGGIO MASSELLO LUCIDO Sp.14mm</t>
  </si>
  <si>
    <t>NERO, BIANCO,PRIMO FIORE ANTRACITE, TWIST Sp. 14mm</t>
  </si>
  <si>
    <t>Sp.6,5mm</t>
  </si>
  <si>
    <t>FONDO NOBILITATO NERO- BIANCO- TWIST</t>
  </si>
  <si>
    <t>Sp. 14mm</t>
  </si>
  <si>
    <t>FONDI PER CASSETTI MONTATI IN LEGNO (prezzi NETTO a MQ)</t>
  </si>
  <si>
    <t>Sp.15  x SPONDE dm2</t>
  </si>
  <si>
    <t>Sp.12 -x FONDO MQ</t>
  </si>
  <si>
    <t>€ / m SPONDE</t>
  </si>
  <si>
    <t>€ / m2 FONDO</t>
  </si>
  <si>
    <t>SCRIVERE LE MISURE IN MM</t>
  </si>
  <si>
    <t>COMPILA I CAMPI EVIDENZIATI DI VERDE</t>
  </si>
  <si>
    <t xml:space="preserve">AL PRONTO </t>
  </si>
  <si>
    <t>RITIRA CLIENTE</t>
  </si>
  <si>
    <t>CONSEGNA VPA</t>
  </si>
  <si>
    <t>IMBALLO CORRIERE VPA</t>
  </si>
  <si>
    <t>IMBALLO CORRIERE DEL CLIENTE</t>
  </si>
  <si>
    <t>PELLE ANTRACITE</t>
  </si>
  <si>
    <t>TESSUTO TORTORA</t>
  </si>
  <si>
    <t>TESSUTO ANTRACITE</t>
  </si>
  <si>
    <t>ROVERE VERNICIATO</t>
  </si>
  <si>
    <t>FRASSINO SBIANCATO BORDATO</t>
  </si>
  <si>
    <t>FONDO IN MDF  Acero Sbiancato / bianco</t>
  </si>
  <si>
    <t>HAVPTO20</t>
  </si>
  <si>
    <t>HAVPTO40</t>
  </si>
  <si>
    <t>HAVPTO70</t>
  </si>
  <si>
    <t>BLUM                                                    DEL CLIENTE</t>
  </si>
  <si>
    <t>TOT. AMM.</t>
  </si>
  <si>
    <t>TOT. AMM. PUSH</t>
  </si>
  <si>
    <t>NOTA  :</t>
  </si>
  <si>
    <t>PUSH70</t>
  </si>
  <si>
    <t>30 KG</t>
  </si>
  <si>
    <t>HETTICH</t>
  </si>
  <si>
    <t>25 KG</t>
  </si>
  <si>
    <t>40 KG</t>
  </si>
  <si>
    <t>50 KG</t>
  </si>
  <si>
    <t>70 KG</t>
  </si>
  <si>
    <t>HETTICH ACTRO YOU   (PUSH a parte)</t>
  </si>
  <si>
    <t>BLUM   (PUSH a parte)</t>
  </si>
  <si>
    <t>TOT. AMM. 5 REG.</t>
  </si>
  <si>
    <t>BARRA SINCRO 1125mm</t>
  </si>
  <si>
    <t>BARRA SINCRO 2000mm</t>
  </si>
  <si>
    <t>SELEZIONATA</t>
  </si>
  <si>
    <t>PUSH NECESSARI</t>
  </si>
  <si>
    <t>BARRE STABILIZZATRICI NECESSARIE :                    1 = SERVE                           0 = NON SERVE</t>
  </si>
  <si>
    <t>PREZZO PIENO GUIDE INCLUSE, I.V.A. ESCLUSA</t>
  </si>
  <si>
    <t>TIP-ON S1</t>
  </si>
  <si>
    <t>TIP-ON L3</t>
  </si>
  <si>
    <t>CASSETTI LEGNO  V.14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</si>
</sst>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;[Red]\-&quot;€&quot;\ #,##0.00"/>
    <numFmt numFmtId="165" formatCode="#,##0.00\ _€"/>
    <numFmt numFmtId="166" formatCode="#,##0.00\ &quot;€&quot;"/>
    <numFmt numFmtId="167" formatCode="[$€-2]\ #,##0.00;[Red]\-[$€-2]\ #,##0.00"/>
    <numFmt numFmtId="168" formatCode="#,##0.00\ _€;[Red]\-#,##0.00\ _€"/>
  </numFmts>
  <fonts count="5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i/>
      <sz val="13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b/>
      <i/>
      <sz val="20"/>
      <name val="Arial"/>
      <family val="2"/>
    </font>
    <font>
      <i/>
      <sz val="12"/>
      <name val="Arial"/>
      <family val="2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0"/>
      <color theme="1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name val="Cambria"/>
      <family val="1"/>
      <scheme val="major"/>
    </font>
    <font>
      <b/>
      <i/>
      <sz val="14"/>
      <name val="Arial"/>
      <family val="2"/>
    </font>
    <font>
      <i/>
      <u/>
      <sz val="9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28"/>
      <name val="Arial Nova Light"/>
      <family val="2"/>
    </font>
    <font>
      <sz val="8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2"/>
      <color theme="1"/>
      <name val="Helvetica Light"/>
      <family val="3"/>
    </font>
    <font>
      <sz val="11"/>
      <color theme="1"/>
      <name val="Helvetica Light"/>
      <family val="3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3"/>
      <name val="Arial Nova Light"/>
      <family val="2"/>
    </font>
    <font>
      <b/>
      <sz val="17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sz val="8"/>
      <name val="Arial"/>
    </font>
    <font>
      <sz val="13"/>
      <name val="Arial"/>
      <family val="2"/>
    </font>
    <font>
      <sz val="12.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gradientFill degree="45">
        <stop position="0">
          <color theme="0"/>
        </stop>
        <stop position="1">
          <color rgb="FF99FF66"/>
        </stop>
      </gradientFill>
    </fill>
    <fill>
      <gradientFill degree="90">
        <stop position="0">
          <color theme="0"/>
        </stop>
        <stop position="1">
          <color rgb="FF99FF66"/>
        </stop>
      </gradient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hair">
        <color indexed="64"/>
      </top>
      <bottom/>
      <diagonal/>
    </border>
    <border>
      <left style="thin">
        <color theme="0" tint="-0.249977111117893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77111117893"/>
      </left>
      <right/>
      <top/>
      <bottom style="hair">
        <color indexed="64"/>
      </bottom>
      <diagonal/>
    </border>
    <border>
      <left style="thin">
        <color theme="0" tint="-0.249977111117893"/>
      </left>
      <right style="hair">
        <color indexed="64"/>
      </right>
      <top/>
      <bottom style="hair">
        <color indexed="64"/>
      </bottom>
      <diagonal/>
    </border>
    <border>
      <left style="thin">
        <color theme="0" tint="-0.249977111117893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3" borderId="0" xfId="0" applyFont="1" applyFill="1"/>
    <xf numFmtId="0" fontId="1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vertical="center"/>
    </xf>
    <xf numFmtId="0" fontId="1" fillId="2" borderId="12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/>
    </xf>
    <xf numFmtId="0" fontId="8" fillId="3" borderId="0" xfId="0" applyFont="1" applyFill="1" applyAlignment="1">
      <alignment vertical="center"/>
    </xf>
    <xf numFmtId="0" fontId="26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/>
    </xf>
    <xf numFmtId="0" fontId="0" fillId="3" borderId="36" xfId="0" applyFill="1" applyBorder="1"/>
    <xf numFmtId="0" fontId="0" fillId="3" borderId="35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17" fillId="3" borderId="0" xfId="0" applyFont="1" applyFill="1"/>
    <xf numFmtId="165" fontId="17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164" fontId="17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9" borderId="0" xfId="0" applyFont="1" applyFill="1"/>
    <xf numFmtId="0" fontId="25" fillId="9" borderId="0" xfId="0" applyFont="1" applyFill="1"/>
    <xf numFmtId="0" fontId="21" fillId="9" borderId="0" xfId="0" applyFont="1" applyFill="1"/>
    <xf numFmtId="0" fontId="0" fillId="9" borderId="0" xfId="0" applyFill="1"/>
    <xf numFmtId="0" fontId="34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11" fillId="9" borderId="0" xfId="0" applyFont="1" applyFill="1"/>
    <xf numFmtId="0" fontId="1" fillId="9" borderId="0" xfId="0" applyFont="1" applyFill="1"/>
    <xf numFmtId="0" fontId="10" fillId="9" borderId="0" xfId="0" applyFont="1" applyFill="1"/>
    <xf numFmtId="0" fontId="1" fillId="9" borderId="0" xfId="0" applyFont="1" applyFill="1" applyAlignment="1">
      <alignment vertical="center"/>
    </xf>
    <xf numFmtId="0" fontId="0" fillId="9" borderId="0" xfId="0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2" fillId="9" borderId="0" xfId="0" applyFont="1" applyFill="1" applyAlignment="1">
      <alignment horizontal="center" vertical="top"/>
    </xf>
    <xf numFmtId="0" fontId="2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9" borderId="12" xfId="0" applyFill="1" applyBorder="1"/>
    <xf numFmtId="0" fontId="0" fillId="9" borderId="5" xfId="0" applyFill="1" applyBorder="1" applyAlignment="1">
      <alignment horizontal="center" vertical="center"/>
    </xf>
    <xf numFmtId="0" fontId="0" fillId="9" borderId="5" xfId="0" applyFill="1" applyBorder="1"/>
    <xf numFmtId="0" fontId="2" fillId="9" borderId="5" xfId="0" applyFont="1" applyFill="1" applyBorder="1" applyAlignment="1">
      <alignment horizontal="center" vertical="center"/>
    </xf>
    <xf numFmtId="0" fontId="2" fillId="9" borderId="52" xfId="0" applyFont="1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9" borderId="53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2" fillId="9" borderId="12" xfId="0" applyFont="1" applyFill="1" applyBorder="1"/>
    <xf numFmtId="0" fontId="0" fillId="10" borderId="12" xfId="0" applyFill="1" applyBorder="1"/>
    <xf numFmtId="0" fontId="2" fillId="10" borderId="12" xfId="0" applyFont="1" applyFill="1" applyBorder="1"/>
    <xf numFmtId="0" fontId="2" fillId="10" borderId="51" xfId="0" applyFont="1" applyFill="1" applyBorder="1" applyAlignment="1">
      <alignment horizontal="center" vertical="center"/>
    </xf>
    <xf numFmtId="0" fontId="10" fillId="10" borderId="37" xfId="0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9" borderId="54" xfId="0" applyFont="1" applyFill="1" applyBorder="1" applyAlignment="1">
      <alignment horizontal="left" vertical="top"/>
    </xf>
    <xf numFmtId="0" fontId="14" fillId="0" borderId="8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9" borderId="69" xfId="0" applyFill="1" applyBorder="1" applyAlignment="1">
      <alignment horizontal="center" vertical="center"/>
    </xf>
    <xf numFmtId="0" fontId="2" fillId="0" borderId="28" xfId="0" applyFont="1" applyBorder="1"/>
    <xf numFmtId="0" fontId="0" fillId="0" borderId="70" xfId="0" applyBorder="1"/>
    <xf numFmtId="0" fontId="0" fillId="0" borderId="32" xfId="0" applyBorder="1"/>
    <xf numFmtId="0" fontId="2" fillId="0" borderId="71" xfId="0" applyFont="1" applyBorder="1"/>
    <xf numFmtId="0" fontId="0" fillId="0" borderId="72" xfId="0" applyBorder="1"/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4" fillId="11" borderId="0" xfId="0" applyFont="1" applyFill="1" applyAlignment="1">
      <alignment vertical="center"/>
    </xf>
    <xf numFmtId="0" fontId="0" fillId="11" borderId="0" xfId="0" applyFill="1"/>
    <xf numFmtId="0" fontId="2" fillId="11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0" fillId="9" borderId="12" xfId="0" applyFill="1" applyBorder="1" applyAlignment="1">
      <alignment horizontal="center"/>
    </xf>
    <xf numFmtId="0" fontId="12" fillId="3" borderId="0" xfId="0" applyFont="1" applyFill="1"/>
    <xf numFmtId="0" fontId="2" fillId="4" borderId="2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left"/>
    </xf>
    <xf numFmtId="0" fontId="0" fillId="4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11" fillId="7" borderId="37" xfId="0" applyFont="1" applyFill="1" applyBorder="1" applyAlignment="1">
      <alignment horizontal="left" vertical="center"/>
    </xf>
    <xf numFmtId="0" fontId="0" fillId="3" borderId="37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2" fillId="8" borderId="37" xfId="0" applyFont="1" applyFill="1" applyBorder="1" applyAlignment="1">
      <alignment horizontal="right"/>
    </xf>
    <xf numFmtId="0" fontId="2" fillId="0" borderId="2" xfId="0" applyFont="1" applyBorder="1"/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center" textRotation="90"/>
    </xf>
    <xf numFmtId="0" fontId="8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5" fontId="17" fillId="3" borderId="22" xfId="0" applyNumberFormat="1" applyFont="1" applyFill="1" applyBorder="1" applyAlignment="1">
      <alignment horizontal="center"/>
    </xf>
    <xf numFmtId="165" fontId="17" fillId="3" borderId="23" xfId="0" applyNumberFormat="1" applyFont="1" applyFill="1" applyBorder="1" applyAlignment="1">
      <alignment horizontal="center"/>
    </xf>
    <xf numFmtId="165" fontId="17" fillId="3" borderId="24" xfId="0" applyNumberFormat="1" applyFont="1" applyFill="1" applyBorder="1" applyAlignment="1">
      <alignment horizontal="center"/>
    </xf>
    <xf numFmtId="0" fontId="0" fillId="9" borderId="73" xfId="0" applyFill="1" applyBorder="1" applyAlignment="1">
      <alignment horizontal="center" vertical="center"/>
    </xf>
    <xf numFmtId="0" fontId="17" fillId="0" borderId="0" xfId="0" applyFont="1"/>
    <xf numFmtId="0" fontId="17" fillId="6" borderId="22" xfId="0" applyFont="1" applyFill="1" applyBorder="1"/>
    <xf numFmtId="0" fontId="38" fillId="0" borderId="15" xfId="0" applyFont="1" applyBorder="1"/>
    <xf numFmtId="0" fontId="38" fillId="0" borderId="0" xfId="0" applyFont="1"/>
    <xf numFmtId="0" fontId="38" fillId="6" borderId="23" xfId="0" applyFont="1" applyFill="1" applyBorder="1"/>
    <xf numFmtId="0" fontId="38" fillId="6" borderId="24" xfId="0" applyFont="1" applyFill="1" applyBorder="1"/>
    <xf numFmtId="0" fontId="38" fillId="6" borderId="15" xfId="0" applyFont="1" applyFill="1" applyBorder="1"/>
    <xf numFmtId="0" fontId="38" fillId="6" borderId="22" xfId="0" applyFont="1" applyFill="1" applyBorder="1"/>
    <xf numFmtId="167" fontId="38" fillId="0" borderId="22" xfId="0" applyNumberFormat="1" applyFont="1" applyBorder="1"/>
    <xf numFmtId="167" fontId="38" fillId="0" borderId="15" xfId="0" applyNumberFormat="1" applyFont="1" applyBorder="1"/>
    <xf numFmtId="168" fontId="38" fillId="6" borderId="24" xfId="0" applyNumberFormat="1" applyFont="1" applyFill="1" applyBorder="1"/>
    <xf numFmtId="168" fontId="38" fillId="0" borderId="0" xfId="0" applyNumberFormat="1" applyFont="1"/>
    <xf numFmtId="168" fontId="38" fillId="6" borderId="22" xfId="0" applyNumberFormat="1" applyFont="1" applyFill="1" applyBorder="1"/>
    <xf numFmtId="164" fontId="38" fillId="6" borderId="22" xfId="0" applyNumberFormat="1" applyFont="1" applyFill="1" applyBorder="1"/>
    <xf numFmtId="0" fontId="2" fillId="9" borderId="25" xfId="0" applyFont="1" applyFill="1" applyBorder="1"/>
    <xf numFmtId="0" fontId="38" fillId="0" borderId="80" xfId="0" applyFont="1" applyBorder="1"/>
    <xf numFmtId="0" fontId="38" fillId="0" borderId="18" xfId="0" applyFont="1" applyBorder="1"/>
    <xf numFmtId="0" fontId="24" fillId="3" borderId="0" xfId="0" applyFont="1" applyFill="1"/>
    <xf numFmtId="0" fontId="23" fillId="3" borderId="12" xfId="0" applyFont="1" applyFill="1" applyBorder="1"/>
    <xf numFmtId="0" fontId="0" fillId="3" borderId="12" xfId="0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1" fillId="0" borderId="0" xfId="0" applyFont="1"/>
    <xf numFmtId="0" fontId="17" fillId="0" borderId="0" xfId="0" applyFont="1" applyAlignment="1">
      <alignment horizontal="right"/>
    </xf>
    <xf numFmtId="0" fontId="21" fillId="0" borderId="85" xfId="0" applyFont="1" applyBorder="1" applyAlignment="1">
      <alignment horizontal="center" vertical="center"/>
    </xf>
    <xf numFmtId="0" fontId="39" fillId="5" borderId="20" xfId="0" applyFont="1" applyFill="1" applyBorder="1" applyAlignment="1">
      <alignment vertical="top"/>
    </xf>
    <xf numFmtId="2" fontId="21" fillId="5" borderId="86" xfId="0" applyNumberFormat="1" applyFont="1" applyFill="1" applyBorder="1" applyAlignment="1">
      <alignment horizontal="center" vertical="center"/>
    </xf>
    <xf numFmtId="2" fontId="21" fillId="5" borderId="87" xfId="0" applyNumberFormat="1" applyFont="1" applyFill="1" applyBorder="1" applyAlignment="1">
      <alignment horizontal="center" vertical="center"/>
    </xf>
    <xf numFmtId="0" fontId="39" fillId="0" borderId="21" xfId="0" applyFont="1" applyBorder="1" applyAlignment="1">
      <alignment vertical="top"/>
    </xf>
    <xf numFmtId="2" fontId="21" fillId="0" borderId="88" xfId="0" applyNumberFormat="1" applyFont="1" applyBorder="1" applyAlignment="1">
      <alignment horizontal="center" vertical="center"/>
    </xf>
    <xf numFmtId="2" fontId="21" fillId="0" borderId="89" xfId="0" applyNumberFormat="1" applyFont="1" applyBorder="1" applyAlignment="1">
      <alignment horizontal="center" vertical="center"/>
    </xf>
    <xf numFmtId="0" fontId="39" fillId="5" borderId="23" xfId="0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0" xfId="0" applyFont="1" applyBorder="1" applyAlignment="1">
      <alignment vertical="top"/>
    </xf>
    <xf numFmtId="2" fontId="21" fillId="0" borderId="86" xfId="0" applyNumberFormat="1" applyFont="1" applyBorder="1" applyAlignment="1">
      <alignment horizontal="center" vertical="center"/>
    </xf>
    <xf numFmtId="2" fontId="21" fillId="0" borderId="87" xfId="0" applyNumberFormat="1" applyFont="1" applyBorder="1" applyAlignment="1">
      <alignment horizontal="center" vertical="center"/>
    </xf>
    <xf numFmtId="0" fontId="39" fillId="5" borderId="20" xfId="0" applyFont="1" applyFill="1" applyBorder="1" applyAlignment="1">
      <alignment horizontal="right" vertical="top"/>
    </xf>
    <xf numFmtId="2" fontId="21" fillId="5" borderId="88" xfId="0" applyNumberFormat="1" applyFont="1" applyFill="1" applyBorder="1" applyAlignment="1">
      <alignment horizontal="center" vertical="center"/>
    </xf>
    <xf numFmtId="2" fontId="21" fillId="5" borderId="89" xfId="0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wrapText="1"/>
    </xf>
    <xf numFmtId="0" fontId="39" fillId="5" borderId="20" xfId="0" applyFont="1" applyFill="1" applyBorder="1" applyAlignment="1">
      <alignment horizontal="right" vertical="center" wrapText="1"/>
    </xf>
    <xf numFmtId="0" fontId="39" fillId="0" borderId="20" xfId="0" applyFont="1" applyBorder="1" applyAlignment="1">
      <alignment horizontal="right" vertical="center" wrapText="1"/>
    </xf>
    <xf numFmtId="0" fontId="39" fillId="5" borderId="21" xfId="0" applyFont="1" applyFill="1" applyBorder="1" applyAlignment="1">
      <alignment horizontal="right" vertical="center" wrapText="1"/>
    </xf>
    <xf numFmtId="0" fontId="39" fillId="5" borderId="21" xfId="0" applyFont="1" applyFill="1" applyBorder="1" applyAlignment="1">
      <alignment horizontal="right" wrapText="1"/>
    </xf>
    <xf numFmtId="0" fontId="39" fillId="0" borderId="79" xfId="0" applyFont="1" applyBorder="1" applyAlignment="1">
      <alignment horizontal="right" wrapText="1"/>
    </xf>
    <xf numFmtId="2" fontId="21" fillId="0" borderId="85" xfId="0" applyNumberFormat="1" applyFont="1" applyBorder="1" applyAlignment="1">
      <alignment horizontal="center" vertical="center"/>
    </xf>
    <xf numFmtId="2" fontId="21" fillId="0" borderId="90" xfId="0" applyNumberFormat="1" applyFont="1" applyBorder="1" applyAlignment="1">
      <alignment horizontal="center" vertical="center"/>
    </xf>
    <xf numFmtId="0" fontId="42" fillId="5" borderId="20" xfId="0" applyFont="1" applyFill="1" applyBorder="1" applyAlignment="1">
      <alignment horizontal="right" vertical="top"/>
    </xf>
    <xf numFmtId="0" fontId="39" fillId="5" borderId="20" xfId="0" applyFont="1" applyFill="1" applyBorder="1" applyAlignment="1">
      <alignment horizontal="right" vertical="center"/>
    </xf>
    <xf numFmtId="0" fontId="39" fillId="0" borderId="21" xfId="0" applyFont="1" applyBorder="1" applyAlignment="1">
      <alignment wrapText="1"/>
    </xf>
    <xf numFmtId="0" fontId="39" fillId="0" borderId="0" xfId="0" applyFont="1"/>
    <xf numFmtId="0" fontId="38" fillId="0" borderId="15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39" fillId="5" borderId="21" xfId="0" applyFont="1" applyFill="1" applyBorder="1" applyAlignment="1">
      <alignment vertical="center"/>
    </xf>
    <xf numFmtId="0" fontId="39" fillId="5" borderId="20" xfId="0" applyFont="1" applyFill="1" applyBorder="1" applyAlignment="1">
      <alignment vertical="center"/>
    </xf>
    <xf numFmtId="0" fontId="39" fillId="5" borderId="22" xfId="0" applyFont="1" applyFill="1" applyBorder="1"/>
    <xf numFmtId="0" fontId="39" fillId="6" borderId="23" xfId="0" applyFont="1" applyFill="1" applyBorder="1"/>
    <xf numFmtId="0" fontId="38" fillId="6" borderId="23" xfId="0" applyFont="1" applyFill="1" applyBorder="1" applyAlignment="1">
      <alignment horizontal="right"/>
    </xf>
    <xf numFmtId="0" fontId="39" fillId="6" borderId="24" xfId="0" applyFont="1" applyFill="1" applyBorder="1" applyAlignment="1">
      <alignment horizontal="left" vertical="center"/>
    </xf>
    <xf numFmtId="0" fontId="0" fillId="5" borderId="0" xfId="0" applyFill="1"/>
    <xf numFmtId="0" fontId="0" fillId="0" borderId="0" xfId="0" applyAlignment="1">
      <alignment horizontal="center"/>
    </xf>
    <xf numFmtId="0" fontId="38" fillId="5" borderId="0" xfId="0" applyFont="1" applyFill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0" xfId="0" applyFont="1" applyFill="1" applyAlignment="1">
      <alignment horizontal="left" vertical="top" wrapText="1"/>
    </xf>
    <xf numFmtId="165" fontId="17" fillId="3" borderId="20" xfId="0" applyNumberFormat="1" applyFont="1" applyFill="1" applyBorder="1" applyAlignment="1">
      <alignment horizontal="center"/>
    </xf>
    <xf numFmtId="165" fontId="17" fillId="3" borderId="2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9" fillId="0" borderId="20" xfId="0" applyFont="1" applyBorder="1" applyAlignment="1">
      <alignment horizontal="right" vertical="top"/>
    </xf>
    <xf numFmtId="0" fontId="39" fillId="0" borderId="20" xfId="0" applyFont="1" applyBorder="1" applyAlignment="1">
      <alignment horizontal="right" wrapText="1"/>
    </xf>
    <xf numFmtId="0" fontId="38" fillId="6" borderId="79" xfId="0" applyFont="1" applyFill="1" applyBorder="1"/>
    <xf numFmtId="0" fontId="38" fillId="6" borderId="0" xfId="0" applyFont="1" applyFill="1"/>
    <xf numFmtId="164" fontId="38" fillId="6" borderId="0" xfId="0" applyNumberFormat="1" applyFont="1" applyFill="1"/>
    <xf numFmtId="0" fontId="8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6" borderId="2" xfId="0" applyFont="1" applyFill="1" applyBorder="1" applyAlignment="1">
      <alignment vertical="center"/>
    </xf>
    <xf numFmtId="2" fontId="8" fillId="6" borderId="1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67" fontId="38" fillId="0" borderId="0" xfId="0" applyNumberFormat="1" applyFont="1" applyAlignment="1">
      <alignment horizontal="center"/>
    </xf>
    <xf numFmtId="0" fontId="21" fillId="9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21" fillId="0" borderId="0" xfId="0" applyFont="1"/>
    <xf numFmtId="0" fontId="37" fillId="0" borderId="74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textRotation="90" wrapText="1"/>
    </xf>
    <xf numFmtId="0" fontId="2" fillId="9" borderId="52" xfId="0" applyFont="1" applyFill="1" applyBorder="1" applyAlignment="1">
      <alignment horizontal="left" vertical="center"/>
    </xf>
    <xf numFmtId="0" fontId="0" fillId="9" borderId="46" xfId="0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2" xfId="0" applyFont="1" applyBorder="1"/>
    <xf numFmtId="0" fontId="0" fillId="9" borderId="34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1" fillId="9" borderId="5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10" borderId="0" xfId="0" applyFill="1"/>
    <xf numFmtId="0" fontId="23" fillId="0" borderId="0" xfId="0" applyFont="1" applyAlignment="1">
      <alignment horizontal="center" vertical="center"/>
    </xf>
    <xf numFmtId="0" fontId="23" fillId="0" borderId="12" xfId="0" applyFont="1" applyBorder="1"/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0" fillId="0" borderId="3" xfId="0" applyBorder="1"/>
    <xf numFmtId="0" fontId="2" fillId="9" borderId="13" xfId="0" applyFont="1" applyFill="1" applyBorder="1"/>
    <xf numFmtId="0" fontId="2" fillId="9" borderId="54" xfId="0" applyFont="1" applyFill="1" applyBorder="1" applyAlignment="1">
      <alignment horizontal="center" vertical="center"/>
    </xf>
    <xf numFmtId="0" fontId="1" fillId="10" borderId="10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10" borderId="105" xfId="0" applyFont="1" applyFill="1" applyBorder="1" applyAlignment="1">
      <alignment horizontal="center" vertical="center"/>
    </xf>
    <xf numFmtId="0" fontId="1" fillId="10" borderId="104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1" fillId="9" borderId="0" xfId="0" applyFont="1" applyFill="1" applyAlignment="1">
      <alignment horizontal="right"/>
    </xf>
    <xf numFmtId="0" fontId="1" fillId="9" borderId="0" xfId="0" applyFont="1" applyFill="1" applyAlignment="1">
      <alignment horizontal="left" vertical="center" wrapText="1"/>
    </xf>
    <xf numFmtId="0" fontId="8" fillId="9" borderId="42" xfId="0" applyFont="1" applyFill="1" applyBorder="1" applyAlignment="1">
      <alignment horizontal="center" vertical="center"/>
    </xf>
    <xf numFmtId="0" fontId="8" fillId="9" borderId="43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11" fillId="0" borderId="0" xfId="0" applyFont="1"/>
    <xf numFmtId="0" fontId="34" fillId="0" borderId="1" xfId="0" applyFont="1" applyBorder="1" applyAlignment="1">
      <alignment vertical="center"/>
    </xf>
    <xf numFmtId="10" fontId="2" fillId="0" borderId="0" xfId="0" applyNumberFormat="1" applyFont="1"/>
    <xf numFmtId="0" fontId="49" fillId="0" borderId="0" xfId="0" applyFont="1" applyAlignment="1">
      <alignment horizontal="left" vertical="center" wrapText="1"/>
    </xf>
    <xf numFmtId="0" fontId="49" fillId="0" borderId="102" xfId="0" applyFont="1" applyBorder="1" applyAlignment="1">
      <alignment horizontal="left"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84" xfId="0" applyNumberFormat="1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right" vertical="center" wrapText="1"/>
    </xf>
    <xf numFmtId="0" fontId="6" fillId="0" borderId="76" xfId="0" applyFont="1" applyBorder="1" applyAlignment="1">
      <alignment horizontal="right" vertical="center" wrapText="1"/>
    </xf>
    <xf numFmtId="49" fontId="7" fillId="0" borderId="81" xfId="0" applyNumberFormat="1" applyFont="1" applyBorder="1" applyAlignment="1" applyProtection="1">
      <alignment horizontal="center" vertical="center" wrapText="1"/>
      <protection locked="0"/>
    </xf>
    <xf numFmtId="49" fontId="7" fillId="0" borderId="82" xfId="0" applyNumberFormat="1" applyFont="1" applyBorder="1" applyAlignment="1" applyProtection="1">
      <alignment horizontal="center" vertical="center" wrapText="1"/>
      <protection locked="0"/>
    </xf>
    <xf numFmtId="49" fontId="7" fillId="0" borderId="100" xfId="0" applyNumberFormat="1" applyFont="1" applyBorder="1" applyAlignment="1" applyProtection="1">
      <alignment horizontal="center" vertical="center" wrapText="1"/>
      <protection locked="0"/>
    </xf>
    <xf numFmtId="49" fontId="7" fillId="0" borderId="101" xfId="0" applyNumberFormat="1" applyFont="1" applyBorder="1" applyAlignment="1" applyProtection="1">
      <alignment horizontal="center" vertical="center" wrapText="1"/>
      <protection locked="0"/>
    </xf>
    <xf numFmtId="49" fontId="7" fillId="0" borderId="10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50" fillId="0" borderId="83" xfId="0" applyFont="1" applyBorder="1" applyAlignment="1">
      <alignment horizontal="right" vertical="center" wrapText="1"/>
    </xf>
    <xf numFmtId="0" fontId="50" fillId="0" borderId="84" xfId="0" applyFont="1" applyBorder="1" applyAlignment="1">
      <alignment horizontal="right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9" fillId="0" borderId="76" xfId="0" applyFont="1" applyBorder="1" applyAlignment="1">
      <alignment horizontal="center" vertical="center" wrapText="1"/>
    </xf>
    <xf numFmtId="0" fontId="49" fillId="0" borderId="76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textRotation="90"/>
    </xf>
    <xf numFmtId="0" fontId="4" fillId="0" borderId="76" xfId="0" applyFont="1" applyBorder="1" applyAlignment="1">
      <alignment horizontal="left" vertical="center" wrapText="1"/>
    </xf>
    <xf numFmtId="0" fontId="4" fillId="0" borderId="77" xfId="0" applyFont="1" applyBorder="1" applyAlignment="1">
      <alignment horizontal="left" vertical="center" wrapText="1"/>
    </xf>
    <xf numFmtId="0" fontId="7" fillId="0" borderId="74" xfId="0" applyFont="1" applyBorder="1" applyAlignment="1" applyProtection="1">
      <alignment horizontal="center" vertical="center"/>
      <protection locked="0"/>
    </xf>
    <xf numFmtId="2" fontId="6" fillId="0" borderId="74" xfId="0" applyNumberFormat="1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49" fillId="0" borderId="75" xfId="0" applyFont="1" applyBorder="1" applyAlignment="1">
      <alignment horizontal="right" vertical="center" wrapText="1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43" fillId="13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textRotation="90" wrapText="1"/>
    </xf>
    <xf numFmtId="0" fontId="0" fillId="0" borderId="74" xfId="0" applyBorder="1" applyAlignment="1" applyProtection="1">
      <alignment horizontal="left" vertical="center"/>
      <protection locked="0"/>
    </xf>
    <xf numFmtId="0" fontId="24" fillId="0" borderId="74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>
      <alignment horizontal="left" vertical="center"/>
    </xf>
    <xf numFmtId="0" fontId="31" fillId="0" borderId="7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74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0" fontId="5" fillId="0" borderId="74" xfId="0" applyFont="1" applyBorder="1" applyAlignment="1">
      <alignment horizontal="right" vertical="center"/>
    </xf>
    <xf numFmtId="0" fontId="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12" borderId="0" xfId="0" applyFont="1" applyFill="1" applyAlignment="1">
      <alignment horizontal="center" vertical="center" wrapText="1"/>
    </xf>
    <xf numFmtId="0" fontId="2" fillId="0" borderId="74" xfId="0" applyFont="1" applyBorder="1" applyAlignment="1" applyProtection="1">
      <alignment horizontal="left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7" xfId="0" applyFont="1" applyBorder="1" applyAlignment="1" applyProtection="1">
      <alignment horizontal="left" vertical="center"/>
      <protection locked="0"/>
    </xf>
    <xf numFmtId="166" fontId="8" fillId="6" borderId="7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0" fillId="3" borderId="1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14" fontId="1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4" fillId="0" borderId="6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0" borderId="68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6" borderId="6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29" fillId="6" borderId="3" xfId="0" applyFont="1" applyFill="1" applyBorder="1" applyAlignment="1">
      <alignment horizontal="left" vertical="center"/>
    </xf>
    <xf numFmtId="0" fontId="29" fillId="6" borderId="6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0" borderId="55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14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96" xfId="0" applyFont="1" applyFill="1" applyBorder="1" applyAlignment="1">
      <alignment horizontal="center" vertical="center"/>
    </xf>
    <xf numFmtId="0" fontId="8" fillId="2" borderId="97" xfId="0" applyFont="1" applyFill="1" applyBorder="1" applyAlignment="1">
      <alignment horizontal="center" vertical="center"/>
    </xf>
    <xf numFmtId="0" fontId="8" fillId="2" borderId="9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quotePrefix="1" applyFont="1" applyFill="1" applyBorder="1" applyAlignment="1">
      <alignment horizontal="center" vertical="center"/>
    </xf>
    <xf numFmtId="0" fontId="4" fillId="4" borderId="61" xfId="0" quotePrefix="1" applyFont="1" applyFill="1" applyBorder="1" applyAlignment="1">
      <alignment horizontal="center" vertical="center"/>
    </xf>
    <xf numFmtId="0" fontId="4" fillId="4" borderId="62" xfId="0" quotePrefix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49" fontId="2" fillId="6" borderId="7" xfId="0" applyNumberFormat="1" applyFont="1" applyFill="1" applyBorder="1" applyAlignment="1">
      <alignment horizontal="center" vertical="center"/>
    </xf>
    <xf numFmtId="49" fontId="2" fillId="6" borderId="8" xfId="0" applyNumberFormat="1" applyFont="1" applyFill="1" applyBorder="1" applyAlignment="1">
      <alignment horizontal="center" vertical="center"/>
    </xf>
    <xf numFmtId="49" fontId="2" fillId="6" borderId="38" xfId="0" applyNumberFormat="1" applyFont="1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49" fontId="2" fillId="6" borderId="29" xfId="0" applyNumberFormat="1" applyFont="1" applyFill="1" applyBorder="1" applyAlignment="1">
      <alignment horizontal="center" vertical="center"/>
    </xf>
    <xf numFmtId="49" fontId="2" fillId="6" borderId="30" xfId="0" applyNumberFormat="1" applyFont="1" applyFill="1" applyBorder="1" applyAlignment="1">
      <alignment horizontal="center" vertical="center"/>
    </xf>
    <xf numFmtId="49" fontId="2" fillId="6" borderId="31" xfId="0" applyNumberFormat="1" applyFont="1" applyFill="1" applyBorder="1" applyAlignment="1">
      <alignment horizontal="center" vertical="center"/>
    </xf>
    <xf numFmtId="14" fontId="2" fillId="6" borderId="3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49" fontId="16" fillId="0" borderId="0" xfId="0" applyNumberFormat="1" applyFont="1" applyAlignment="1">
      <alignment horizontal="left"/>
    </xf>
    <xf numFmtId="0" fontId="10" fillId="7" borderId="42" xfId="0" applyFont="1" applyFill="1" applyBorder="1" applyAlignment="1">
      <alignment horizontal="left" vertical="center"/>
    </xf>
    <xf numFmtId="0" fontId="10" fillId="7" borderId="43" xfId="0" applyFont="1" applyFill="1" applyBorder="1" applyAlignment="1">
      <alignment horizontal="left" vertical="center"/>
    </xf>
    <xf numFmtId="0" fontId="10" fillId="7" borderId="44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39" fillId="5" borderId="79" xfId="0" applyFont="1" applyFill="1" applyBorder="1" applyAlignment="1">
      <alignment horizontal="center"/>
    </xf>
    <xf numFmtId="0" fontId="39" fillId="5" borderId="0" xfId="0" applyFont="1" applyFill="1" applyAlignment="1">
      <alignment horizontal="center"/>
    </xf>
    <xf numFmtId="167" fontId="38" fillId="0" borderId="79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0" fontId="39" fillId="5" borderId="79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167" fontId="38" fillId="0" borderId="93" xfId="0" applyNumberFormat="1" applyFont="1" applyBorder="1" applyAlignment="1">
      <alignment horizontal="center"/>
    </xf>
    <xf numFmtId="167" fontId="38" fillId="0" borderId="11" xfId="0" applyNumberFormat="1" applyFont="1" applyBorder="1" applyAlignment="1">
      <alignment horizontal="center"/>
    </xf>
    <xf numFmtId="0" fontId="38" fillId="5" borderId="7" xfId="0" applyFont="1" applyFill="1" applyBorder="1" applyAlignment="1">
      <alignment horizontal="left" vertical="center"/>
    </xf>
    <xf numFmtId="0" fontId="38" fillId="5" borderId="8" xfId="0" applyFont="1" applyFill="1" applyBorder="1" applyAlignment="1">
      <alignment horizontal="left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165" fontId="17" fillId="3" borderId="7" xfId="0" applyNumberFormat="1" applyFont="1" applyFill="1" applyBorder="1" applyAlignment="1">
      <alignment horizontal="center"/>
    </xf>
    <xf numFmtId="165" fontId="17" fillId="3" borderId="10" xfId="0" applyNumberFormat="1" applyFont="1" applyFill="1" applyBorder="1" applyAlignment="1">
      <alignment horizontal="center"/>
    </xf>
    <xf numFmtId="0" fontId="38" fillId="0" borderId="79" xfId="0" quotePrefix="1" applyFont="1" applyBorder="1" applyAlignment="1">
      <alignment horizontal="center"/>
    </xf>
    <xf numFmtId="0" fontId="38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91" xfId="0" quotePrefix="1" applyBorder="1" applyAlignment="1">
      <alignment horizontal="center"/>
    </xf>
    <xf numFmtId="0" fontId="38" fillId="5" borderId="79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167" fontId="38" fillId="5" borderId="79" xfId="0" applyNumberFormat="1" applyFont="1" applyFill="1" applyBorder="1" applyAlignment="1">
      <alignment horizontal="center"/>
    </xf>
    <xf numFmtId="167" fontId="38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8" fillId="0" borderId="7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5" borderId="23" xfId="0" applyFont="1" applyFill="1" applyBorder="1" applyAlignment="1">
      <alignment horizontal="left" vertical="center"/>
    </xf>
    <xf numFmtId="0" fontId="39" fillId="5" borderId="78" xfId="0" applyFont="1" applyFill="1" applyBorder="1" applyAlignment="1">
      <alignment horizontal="left" vertical="center"/>
    </xf>
    <xf numFmtId="0" fontId="38" fillId="5" borderId="79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 vertical="center"/>
    </xf>
    <xf numFmtId="0" fontId="38" fillId="5" borderId="91" xfId="0" applyFont="1" applyFill="1" applyBorder="1" applyAlignment="1">
      <alignment horizontal="left" vertical="center"/>
    </xf>
    <xf numFmtId="0" fontId="38" fillId="5" borderId="0" xfId="0" quotePrefix="1" applyFont="1" applyFill="1" applyAlignment="1">
      <alignment horizontal="center"/>
    </xf>
    <xf numFmtId="0" fontId="38" fillId="5" borderId="91" xfId="0" quotePrefix="1" applyFont="1" applyFill="1" applyBorder="1" applyAlignment="1">
      <alignment horizontal="center"/>
    </xf>
    <xf numFmtId="167" fontId="38" fillId="0" borderId="92" xfId="0" applyNumberFormat="1" applyFont="1" applyBorder="1" applyAlignment="1">
      <alignment horizontal="center"/>
    </xf>
    <xf numFmtId="167" fontId="38" fillId="0" borderId="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7" fillId="3" borderId="26" xfId="0" applyNumberFormat="1" applyFont="1" applyFill="1" applyBorder="1" applyAlignment="1">
      <alignment horizontal="center"/>
    </xf>
    <xf numFmtId="165" fontId="17" fillId="3" borderId="27" xfId="0" applyNumberFormat="1" applyFont="1" applyFill="1" applyBorder="1" applyAlignment="1">
      <alignment horizontal="center"/>
    </xf>
    <xf numFmtId="2" fontId="8" fillId="6" borderId="7" xfId="0" applyNumberFormat="1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9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2" fontId="8" fillId="6" borderId="11" xfId="0" applyNumberFormat="1" applyFont="1" applyFill="1" applyBorder="1" applyAlignment="1">
      <alignment horizontal="center" vertical="center"/>
    </xf>
    <xf numFmtId="166" fontId="8" fillId="6" borderId="8" xfId="0" applyNumberFormat="1" applyFont="1" applyFill="1" applyBorder="1" applyAlignment="1">
      <alignment horizontal="center" vertical="center"/>
    </xf>
    <xf numFmtId="166" fontId="8" fillId="6" borderId="9" xfId="0" applyNumberFormat="1" applyFont="1" applyFill="1" applyBorder="1" applyAlignment="1">
      <alignment horizontal="center" vertical="center"/>
    </xf>
    <xf numFmtId="166" fontId="8" fillId="6" borderId="10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/>
    </xf>
    <xf numFmtId="166" fontId="8" fillId="6" borderId="1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9" borderId="106" xfId="0" applyFont="1" applyFill="1" applyBorder="1" applyAlignment="1">
      <alignment horizontal="center" vertical="center"/>
    </xf>
    <xf numFmtId="0" fontId="8" fillId="9" borderId="97" xfId="0" applyFont="1" applyFill="1" applyBorder="1" applyAlignment="1">
      <alignment horizontal="center" vertical="center"/>
    </xf>
    <xf numFmtId="0" fontId="8" fillId="9" borderId="107" xfId="0" applyFont="1" applyFill="1" applyBorder="1" applyAlignment="1">
      <alignment horizontal="center" vertical="center"/>
    </xf>
    <xf numFmtId="0" fontId="34" fillId="9" borderId="36" xfId="0" applyFont="1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103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70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0" fillId="9" borderId="70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5" xfId="0" applyBorder="1" applyAlignment="1">
      <alignment horizontal="center"/>
    </xf>
    <xf numFmtId="0" fontId="10" fillId="10" borderId="42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4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 wrapText="1"/>
    </xf>
    <xf numFmtId="0" fontId="2" fillId="10" borderId="57" xfId="0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2" fillId="10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e" xfId="0" builtinId="0"/>
  </cellStyles>
  <dxfs count="91">
    <dxf>
      <font>
        <strike val="0"/>
      </font>
      <border>
        <bottom style="thin">
          <color auto="1"/>
        </bottom>
        <vertical/>
        <horizontal/>
      </border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numFmt numFmtId="0" formatCode="General"/>
      <fill>
        <gradientFill degree="90">
          <stop position="0">
            <color theme="0"/>
          </stop>
          <stop position="1">
            <color rgb="FF99FF66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 patternType="solid">
          <fgColor auto="1"/>
          <bgColor rgb="FFFFFFFF"/>
        </pattern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 tint="-0.249977111117893"/>
        </patternFill>
      </fill>
    </dxf>
    <dxf>
      <fill>
        <patternFill patternType="none">
          <fgColor indexed="64"/>
          <bgColor theme="0" tint="-0.249977111117893"/>
        </patternFill>
      </fill>
    </dxf>
    <dxf>
      <fill>
        <patternFill patternType="none">
          <fgColor indexed="64"/>
          <bgColor theme="0" tint="-0.249977111117893"/>
        </patternFill>
      </fill>
    </dxf>
    <dxf>
      <fill>
        <patternFill patternType="none">
          <fgColor indexed="64"/>
          <bgColor theme="0" tint="-0.249977111117893"/>
        </patternFill>
      </fill>
    </dxf>
  </dxfs>
  <tableStyles count="0" defaultTableStyle="TableStyleMedium9" defaultPivotStyle="PivotStyleLight16"/>
  <colors>
    <mruColors>
      <color rgb="FFFFFFFF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45720</xdr:rowOff>
        </xdr:from>
        <xdr:to>
          <xdr:col>36</xdr:col>
          <xdr:colOff>53340</xdr:colOff>
          <xdr:row>20</xdr:row>
          <xdr:rowOff>38100</xdr:rowOff>
        </xdr:to>
        <xdr:pic>
          <xdr:nvPicPr>
            <xdr:cNvPr id="11942" name="Immagine 7">
              <a:extLst>
                <a:ext uri="{FF2B5EF4-FFF2-40B4-BE49-F238E27FC236}">
                  <a16:creationId xmlns:a16="http://schemas.microsoft.com/office/drawing/2014/main" id="{536BD8C1-A572-50ED-0A26-073B924076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TI" spid="_x0000_s11948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149340" y="2286000"/>
              <a:ext cx="2461260" cy="18211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19</xdr:row>
          <xdr:rowOff>76200</xdr:rowOff>
        </xdr:from>
        <xdr:to>
          <xdr:col>35</xdr:col>
          <xdr:colOff>53340</xdr:colOff>
          <xdr:row>36</xdr:row>
          <xdr:rowOff>121920</xdr:rowOff>
        </xdr:to>
        <xdr:pic>
          <xdr:nvPicPr>
            <xdr:cNvPr id="11943" name="Immagine 8">
              <a:extLst>
                <a:ext uri="{FF2B5EF4-FFF2-40B4-BE49-F238E27FC236}">
                  <a16:creationId xmlns:a16="http://schemas.microsoft.com/office/drawing/2014/main" id="{7C6201F9-619E-4D9E-D032-7B545A363ED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FORATURE" spid="_x0000_s11949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63240" y="3916680"/>
              <a:ext cx="5334000" cy="39319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160020</xdr:colOff>
      <xdr:row>22</xdr:row>
      <xdr:rowOff>257175</xdr:rowOff>
    </xdr:from>
    <xdr:to>
      <xdr:col>15</xdr:col>
      <xdr:colOff>5349240</xdr:colOff>
      <xdr:row>22</xdr:row>
      <xdr:rowOff>3673365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1507A72-302B-41BC-948F-1206811BAB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" t="1588" r="1006" b="1839"/>
        <a:stretch/>
      </xdr:blipFill>
      <xdr:spPr>
        <a:xfrm>
          <a:off x="30388560" y="6962775"/>
          <a:ext cx="5189220" cy="341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20</xdr:row>
      <xdr:rowOff>19050</xdr:rowOff>
    </xdr:from>
    <xdr:to>
      <xdr:col>11</xdr:col>
      <xdr:colOff>2583180</xdr:colOff>
      <xdr:row>20</xdr:row>
      <xdr:rowOff>1817145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15D097B3-18A1-4805-B742-8CDAA008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5701" y="4591050"/>
          <a:ext cx="2506979" cy="179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20</xdr:row>
      <xdr:rowOff>19050</xdr:rowOff>
    </xdr:from>
    <xdr:to>
      <xdr:col>12</xdr:col>
      <xdr:colOff>2645326</xdr:colOff>
      <xdr:row>20</xdr:row>
      <xdr:rowOff>1817145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8885E52-D927-448E-AA73-5C54EB200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9175" y="4591050"/>
          <a:ext cx="2546266" cy="18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20</xdr:row>
      <xdr:rowOff>19051</xdr:rowOff>
    </xdr:from>
    <xdr:to>
      <xdr:col>13</xdr:col>
      <xdr:colOff>2647231</xdr:colOff>
      <xdr:row>20</xdr:row>
      <xdr:rowOff>1817146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99881F5C-37E7-4606-92CE-5B9B57E50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0" y="4591051"/>
          <a:ext cx="2546266" cy="1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20</xdr:row>
      <xdr:rowOff>19050</xdr:rowOff>
    </xdr:from>
    <xdr:to>
      <xdr:col>14</xdr:col>
      <xdr:colOff>2658661</xdr:colOff>
      <xdr:row>20</xdr:row>
      <xdr:rowOff>1817145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421DDE4-99E9-43E5-AC45-67A7954C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0825" y="4591050"/>
          <a:ext cx="2546266" cy="18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381000</xdr:rowOff>
    </xdr:from>
    <xdr:to>
      <xdr:col>16</xdr:col>
      <xdr:colOff>5372100</xdr:colOff>
      <xdr:row>22</xdr:row>
      <xdr:rowOff>3839123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49EDB1-B030-DBCA-E81D-694291BB3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0660" y="7086600"/>
          <a:ext cx="5372100" cy="34581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74DEE2-AF55-4187-B485-620DEE9B3852}" name="DATI" displayName="DATI" ref="A1:C10" totalsRowShown="0" headerRowDxfId="90" dataDxfId="89">
  <autoFilter ref="A1:C10" xr:uid="{C66580C2-636B-46F6-BCFD-50E34DCE84EF}"/>
  <tableColumns count="3">
    <tableColumn id="1" xr3:uid="{CDF5E8EA-E86F-4E5D-ABD7-1EEC62CBE356}" name="MATERIALE" dataDxfId="88"/>
    <tableColumn id="2" xr3:uid="{9B4D3027-465A-4E84-93D2-BA3DE48A35EB}" name="MULTISTRATO" dataDxfId="87"/>
    <tableColumn id="3" xr3:uid="{975E7E1F-DCC0-44AE-932E-636D40E64911}" name="NOBILITATO" dataDxfId="8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>
    <pageSetUpPr fitToPage="1"/>
  </sheetPr>
  <dimension ref="A1:CS94"/>
  <sheetViews>
    <sheetView showGridLines="0" showRowColHeaders="0" tabSelected="1" topLeftCell="A4" zoomScale="95" zoomScaleNormal="95" zoomScaleSheetLayoutView="100" workbookViewId="0">
      <selection activeCell="U9" sqref="U9:AJ9"/>
    </sheetView>
  </sheetViews>
  <sheetFormatPr defaultRowHeight="13.2"/>
  <cols>
    <col min="1" max="14" width="2.33203125" customWidth="1"/>
    <col min="15" max="15" width="11.5546875" customWidth="1"/>
    <col min="16" max="24" width="3.6640625" customWidth="1"/>
    <col min="25" max="25" width="3.5546875" customWidth="1"/>
    <col min="26" max="26" width="8.88671875" customWidth="1"/>
    <col min="27" max="35" width="3.5546875" customWidth="1"/>
    <col min="36" max="36" width="3.109375" customWidth="1"/>
    <col min="37" max="37" width="1.6640625" customWidth="1"/>
    <col min="38" max="39" width="2.44140625" customWidth="1"/>
    <col min="40" max="41" width="2.6640625" customWidth="1"/>
    <col min="42" max="43" width="7.33203125" customWidth="1"/>
    <col min="44" max="57" width="3.33203125" customWidth="1"/>
    <col min="58" max="59" width="5.6640625" customWidth="1"/>
    <col min="60" max="80" width="3.6640625" customWidth="1"/>
  </cols>
  <sheetData>
    <row r="1" spans="1:97" ht="5.0999999999999996" customHeight="1">
      <c r="A1" s="6"/>
      <c r="B1" s="6"/>
      <c r="C1" s="6"/>
      <c r="D1" s="14"/>
      <c r="E1" s="14"/>
      <c r="F1" s="13"/>
      <c r="G1" s="7"/>
      <c r="H1" s="13"/>
      <c r="I1" s="13"/>
      <c r="J1" s="7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1:97" ht="5.0999999999999996" customHeight="1">
      <c r="A2" s="6"/>
      <c r="B2" s="6"/>
      <c r="C2" s="6"/>
      <c r="D2" s="6"/>
      <c r="E2" s="7"/>
      <c r="F2" s="6"/>
      <c r="G2" s="7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</row>
    <row r="3" spans="1:97" ht="5.0999999999999996" customHeight="1">
      <c r="A3" s="6"/>
      <c r="B3" s="37"/>
      <c r="C3" s="37"/>
      <c r="D3" s="6"/>
      <c r="E3" s="7"/>
      <c r="F3" s="6"/>
      <c r="G3" s="7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</row>
    <row r="4" spans="1:97" s="1" customFormat="1" ht="18" customHeight="1">
      <c r="A4" s="6"/>
      <c r="B4" s="38"/>
      <c r="C4" s="39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47"/>
      <c r="Q4" s="47"/>
      <c r="R4" s="22"/>
      <c r="S4" s="22"/>
      <c r="T4" s="47"/>
      <c r="U4" s="306" t="s">
        <v>71</v>
      </c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</row>
    <row r="5" spans="1:97" s="1" customFormat="1" ht="12" customHeight="1">
      <c r="A5" s="6"/>
      <c r="B5" s="38"/>
      <c r="C5" s="39"/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313"/>
      <c r="Q5" s="313"/>
      <c r="R5" s="313"/>
      <c r="S5" s="313"/>
      <c r="T5" s="313"/>
      <c r="U5" s="296" t="s">
        <v>134</v>
      </c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88"/>
      <c r="AL5" s="299" t="s">
        <v>70</v>
      </c>
      <c r="AM5" s="299"/>
      <c r="AN5" s="299" t="s">
        <v>3</v>
      </c>
      <c r="AO5" s="299"/>
      <c r="AP5" s="300" t="s">
        <v>79</v>
      </c>
      <c r="AQ5" s="300"/>
      <c r="AR5" s="298" t="s">
        <v>94</v>
      </c>
      <c r="AS5" s="298"/>
      <c r="AT5" s="298"/>
      <c r="AU5" s="298"/>
      <c r="AV5" s="298" t="s">
        <v>95</v>
      </c>
      <c r="AW5" s="298"/>
      <c r="AX5" s="298"/>
      <c r="AY5" s="298"/>
      <c r="AZ5" s="298" t="s">
        <v>96</v>
      </c>
      <c r="BA5" s="298"/>
      <c r="BB5" s="298"/>
      <c r="BC5" s="298"/>
      <c r="BD5" s="300" t="s">
        <v>86</v>
      </c>
      <c r="BE5" s="300"/>
      <c r="BF5" s="298" t="s">
        <v>97</v>
      </c>
      <c r="BG5" s="29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</row>
    <row r="6" spans="1:97" ht="12" customHeight="1">
      <c r="A6" s="6"/>
      <c r="B6" s="38"/>
      <c r="C6" s="39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313"/>
      <c r="Q6" s="313"/>
      <c r="R6" s="313"/>
      <c r="S6" s="313"/>
      <c r="T6" s="313"/>
      <c r="U6" s="297" t="s">
        <v>133</v>
      </c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88"/>
      <c r="AL6" s="299"/>
      <c r="AM6" s="299"/>
      <c r="AN6" s="299"/>
      <c r="AO6" s="299"/>
      <c r="AP6" s="300"/>
      <c r="AQ6" s="300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300"/>
      <c r="BE6" s="300"/>
      <c r="BF6" s="298"/>
      <c r="BG6" s="29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</row>
    <row r="7" spans="1:97" ht="38.1" customHeight="1">
      <c r="A7" s="6"/>
      <c r="B7" s="38"/>
      <c r="C7" s="39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315" t="str">
        <f>IF(AND(U9=""),"CLICCA E SELEZIONA SE RITIRARE MERCE IN VPA O SE VOLETE LA CONSEGNA",IF(AND(U10=""),"SCRIVI la RAGIONE SOCIALE",IF(AND(U11=""),"SCRIVI la CITTA'",IF(AND(U13=""),"CLICCA per SPECIFICARE IL MATERIALE",IF(AND(U14=""),"CLICCA per SPECIFICARE LA FINITURA scelta",IF(AND(U15=""),"CLICCA per DARE GUIDE , SI oppure NO",IF(AND(U16=""),"CLICCA per SPECIFICARE LA PREDISPOSIZIONE",IF(AND(U17=""),"CLICCA per SPECIFICARE N° LATI",IF(AND(U18=""),"CLICCA per MONTATO  oppure SMONTATO",IF(AND(U19=""),"CLICCA per SPECIFICHE inerenti al FONDO",IF(AND(AN9=""),"SCRIVI la QUANTITA' di CASSETTI UGUALI",IF(AND(U15="SI",AP9=""),"CLICCA per SELEZIONARE L'ESTRAZIONE",IF(AND(U15="NO",AR9=""),"CLICCA per scegliere PROFONDITA' GUIDA",IF(AND(AR9=""),"CLICCA per scegliere PROFONDITA' GUIDA",IF(AND(AV9=""),"SCRIVI la LARGHEZZA del vano INTERNA",IF(AND(AZ9=""),"CLICCA per SELEZIONARE ALTEZZA sponda",IF(AND(U15="SI",BD9=""),"CLICCA E SELEZIONA LA PORTATA DELLE GUIDE",IF(AZ9&gt;0,"OK"))))))))))))))))))</f>
        <v>CLICCA E SELEZIONA SE RITIRARE MERCE IN VPA O SE VOLETE LA CONSEGNA</v>
      </c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45"/>
      <c r="AL7" s="299"/>
      <c r="AM7" s="299"/>
      <c r="AN7" s="299"/>
      <c r="AO7" s="299"/>
      <c r="AP7" s="300"/>
      <c r="AQ7" s="300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300"/>
      <c r="BE7" s="300"/>
      <c r="BF7" s="298"/>
      <c r="BG7" s="29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</row>
    <row r="8" spans="1:97" ht="10.199999999999999" customHeight="1">
      <c r="A8" s="6"/>
      <c r="B8" s="38"/>
      <c r="C8" s="39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45"/>
      <c r="AL8" s="223"/>
      <c r="AM8" s="223"/>
      <c r="AN8" s="223"/>
      <c r="AO8" s="223"/>
      <c r="AP8" s="224"/>
      <c r="AQ8" s="224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4"/>
      <c r="BE8" s="224"/>
      <c r="BF8" s="222"/>
      <c r="BG8" s="222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</row>
    <row r="9" spans="1:97" ht="18" customHeight="1">
      <c r="A9" s="6"/>
      <c r="B9" s="38"/>
      <c r="C9" s="39"/>
      <c r="D9" s="8"/>
      <c r="E9" s="8"/>
      <c r="F9" s="6"/>
      <c r="G9" s="6"/>
      <c r="H9" s="6"/>
      <c r="I9" s="6"/>
      <c r="J9" s="6"/>
      <c r="K9" s="6"/>
      <c r="L9" s="6"/>
      <c r="M9" s="6"/>
      <c r="N9" s="6"/>
      <c r="O9" s="6"/>
      <c r="P9" s="304" t="s">
        <v>135</v>
      </c>
      <c r="Q9" s="304"/>
      <c r="R9" s="304"/>
      <c r="S9" s="304"/>
      <c r="T9" s="304"/>
      <c r="U9" s="317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9"/>
      <c r="AK9" s="105"/>
      <c r="AL9" s="305" t="s">
        <v>16</v>
      </c>
      <c r="AM9" s="305"/>
      <c r="AN9" s="307"/>
      <c r="AO9" s="307"/>
      <c r="AP9" s="295"/>
      <c r="AQ9" s="295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2" t="str">
        <f>IF(AND($U$15="NO",AR9&gt;0,AV9&gt;0,AZ9&gt;0),SUM('CARTELLINO 10righe'!BJ70:BJ71),IF(AND($U$15="SI",AP9&gt;0,AR9&gt;0,AV9&gt;0,AZ9&gt;0),SUM('CARTELLINO 10righe'!BJ70:BJ71),""))</f>
        <v/>
      </c>
      <c r="BG9" s="293"/>
      <c r="BH9" s="6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</row>
    <row r="10" spans="1:97" ht="18" customHeight="1">
      <c r="A10" s="6"/>
      <c r="B10" s="38"/>
      <c r="C10" s="39"/>
      <c r="D10" s="8"/>
      <c r="E10" s="8"/>
      <c r="F10" s="6"/>
      <c r="G10" s="6"/>
      <c r="H10" s="6"/>
      <c r="I10" s="6"/>
      <c r="J10" s="6"/>
      <c r="K10" s="6"/>
      <c r="L10" s="6"/>
      <c r="M10" s="6"/>
      <c r="N10" s="6"/>
      <c r="O10" s="6"/>
      <c r="P10" s="304" t="s">
        <v>91</v>
      </c>
      <c r="Q10" s="304"/>
      <c r="R10" s="304"/>
      <c r="S10" s="304"/>
      <c r="T10" s="304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106"/>
      <c r="AL10" s="305"/>
      <c r="AM10" s="305"/>
      <c r="AN10" s="307"/>
      <c r="AO10" s="307"/>
      <c r="AP10" s="295"/>
      <c r="AQ10" s="295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3"/>
      <c r="BG10" s="293"/>
      <c r="BH10" s="6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</row>
    <row r="11" spans="1:97" ht="18" customHeight="1">
      <c r="A11" s="6"/>
      <c r="B11" s="38"/>
      <c r="C11" s="39"/>
      <c r="D11" s="8"/>
      <c r="E11" s="8"/>
      <c r="F11" s="6"/>
      <c r="G11" s="6"/>
      <c r="H11" s="6"/>
      <c r="I11" s="6"/>
      <c r="J11" s="6"/>
      <c r="K11" s="6"/>
      <c r="L11" s="6"/>
      <c r="M11" s="6"/>
      <c r="N11" s="6"/>
      <c r="O11" s="6"/>
      <c r="P11" s="304" t="s">
        <v>84</v>
      </c>
      <c r="Q11" s="304"/>
      <c r="R11" s="304"/>
      <c r="S11" s="304"/>
      <c r="T11" s="304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106"/>
      <c r="AL11" s="305" t="s">
        <v>17</v>
      </c>
      <c r="AM11" s="305"/>
      <c r="AN11" s="307"/>
      <c r="AO11" s="307"/>
      <c r="AP11" s="295"/>
      <c r="AQ11" s="295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2" t="str">
        <f>IF(AND($U$15="NO",AR11&gt;0,AV11&gt;0,AZ11&gt;0),SUM('CARTELLINO 10righe'!BJ74:BJ75),IF(AND($U$15="SI",AP11&gt;0,AR11&gt;0,AV11&gt;0,AZ11&gt;0),SUM('CARTELLINO 10righe'!BJ74:BJ75),""))</f>
        <v/>
      </c>
      <c r="BG11" s="293"/>
      <c r="BH11" s="6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</row>
    <row r="12" spans="1:97" ht="18" customHeight="1">
      <c r="A12" s="6"/>
      <c r="B12" s="38"/>
      <c r="C12" s="39"/>
      <c r="D12" s="8"/>
      <c r="E12" s="8"/>
      <c r="F12" s="6"/>
      <c r="G12" s="6"/>
      <c r="H12" s="6"/>
      <c r="I12" s="6"/>
      <c r="J12" s="6"/>
      <c r="K12" s="6"/>
      <c r="L12" s="6"/>
      <c r="M12" s="6"/>
      <c r="N12" s="6"/>
      <c r="O12" s="6"/>
      <c r="P12" s="304" t="s">
        <v>69</v>
      </c>
      <c r="Q12" s="304"/>
      <c r="R12" s="304"/>
      <c r="S12" s="304"/>
      <c r="T12" s="304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106"/>
      <c r="AL12" s="305"/>
      <c r="AM12" s="305"/>
      <c r="AN12" s="307"/>
      <c r="AO12" s="307"/>
      <c r="AP12" s="295"/>
      <c r="AQ12" s="295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3"/>
      <c r="BG12" s="293"/>
      <c r="BH12" s="6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</row>
    <row r="13" spans="1:97" ht="18" customHeight="1">
      <c r="A13" s="6"/>
      <c r="B13" s="38"/>
      <c r="C13" s="39"/>
      <c r="D13" s="8"/>
      <c r="E13" s="8"/>
      <c r="F13" s="6"/>
      <c r="G13" s="6"/>
      <c r="H13" s="6"/>
      <c r="I13" s="6"/>
      <c r="J13" s="6"/>
      <c r="K13" s="6"/>
      <c r="L13" s="6"/>
      <c r="M13" s="6"/>
      <c r="N13" s="6"/>
      <c r="O13" s="6"/>
      <c r="P13" s="304" t="s">
        <v>43</v>
      </c>
      <c r="Q13" s="304"/>
      <c r="R13" s="304"/>
      <c r="S13" s="304"/>
      <c r="T13" s="304"/>
      <c r="U13" s="301"/>
      <c r="V13" s="301"/>
      <c r="W13" s="301"/>
      <c r="X13" s="301"/>
      <c r="Y13" s="301"/>
      <c r="Z13" s="301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84"/>
      <c r="AL13" s="305" t="s">
        <v>18</v>
      </c>
      <c r="AM13" s="305"/>
      <c r="AN13" s="307"/>
      <c r="AO13" s="307"/>
      <c r="AP13" s="295"/>
      <c r="AQ13" s="295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2" t="str">
        <f>IF(AND($U$15="NO",AR13&gt;0,AV13&gt;0,AZ13&gt;0),SUM('CARTELLINO 10righe'!BJ78:BJ79),IF(AND($U$15="SI",AP13&gt;0,AR13&gt;0,AV13&gt;0,AZ13&gt;0),SUM('CARTELLINO 10righe'!BJ78:BJ79),""))</f>
        <v/>
      </c>
      <c r="BG13" s="293"/>
      <c r="BH13" s="6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</row>
    <row r="14" spans="1:97" s="2" customFormat="1" ht="18" customHeight="1">
      <c r="A14" s="6"/>
      <c r="B14" s="38"/>
      <c r="C14" s="39"/>
      <c r="D14" s="8"/>
      <c r="E14" s="8"/>
      <c r="F14" s="6"/>
      <c r="G14" s="6"/>
      <c r="H14" s="6"/>
      <c r="I14" s="6"/>
      <c r="J14" s="6"/>
      <c r="K14" s="6"/>
      <c r="L14" s="6"/>
      <c r="M14" s="6"/>
      <c r="N14" s="6"/>
      <c r="O14" s="6"/>
      <c r="P14" s="304" t="s">
        <v>48</v>
      </c>
      <c r="Q14" s="304"/>
      <c r="R14" s="304"/>
      <c r="S14" s="304"/>
      <c r="T14" s="304"/>
      <c r="U14" s="302"/>
      <c r="V14" s="302"/>
      <c r="W14" s="302"/>
      <c r="X14" s="302"/>
      <c r="Y14" s="302"/>
      <c r="Z14" s="302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84"/>
      <c r="AL14" s="305"/>
      <c r="AM14" s="305"/>
      <c r="AN14" s="307"/>
      <c r="AO14" s="307"/>
      <c r="AP14" s="295"/>
      <c r="AQ14" s="295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3"/>
      <c r="BG14" s="293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</row>
    <row r="15" spans="1:97" s="1" customFormat="1" ht="18" customHeight="1">
      <c r="A15" s="6"/>
      <c r="B15" s="38"/>
      <c r="C15" s="39"/>
      <c r="D15" s="8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304" t="s">
        <v>72</v>
      </c>
      <c r="Q15" s="304"/>
      <c r="R15" s="304"/>
      <c r="S15" s="304"/>
      <c r="T15" s="304"/>
      <c r="U15" s="301"/>
      <c r="V15" s="301"/>
      <c r="W15" s="301"/>
      <c r="X15" s="301"/>
      <c r="Y15" s="301"/>
      <c r="Z15" s="301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84"/>
      <c r="AL15" s="305" t="s">
        <v>19</v>
      </c>
      <c r="AM15" s="305"/>
      <c r="AN15" s="307"/>
      <c r="AO15" s="307"/>
      <c r="AP15" s="295"/>
      <c r="AQ15" s="295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2" t="str">
        <f>IF(AND($U$15="NO",AR15&gt;0,AV15&gt;0,AZ15&gt;0),SUM('CARTELLINO 10righe'!BJ82:BJ83),IF(AND($U$15="SI",AP15&gt;0,AR15&gt;0,AV15&gt;0,AZ15&gt;0),SUM('CARTELLINO 10righe'!BJ82:BJ83),""))</f>
        <v/>
      </c>
      <c r="BG15" s="293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</row>
    <row r="16" spans="1:97" s="1" customFormat="1" ht="18" customHeight="1">
      <c r="A16" s="6"/>
      <c r="B16" s="38"/>
      <c r="C16" s="39"/>
      <c r="D16" s="8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304" t="s">
        <v>87</v>
      </c>
      <c r="Q16" s="304"/>
      <c r="R16" s="304"/>
      <c r="S16" s="304"/>
      <c r="T16" s="304"/>
      <c r="U16" s="303"/>
      <c r="V16" s="303"/>
      <c r="W16" s="303"/>
      <c r="X16" s="303"/>
      <c r="Y16" s="303"/>
      <c r="Z16" s="303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84"/>
      <c r="AL16" s="305"/>
      <c r="AM16" s="305"/>
      <c r="AN16" s="307"/>
      <c r="AO16" s="307"/>
      <c r="AP16" s="295"/>
      <c r="AQ16" s="295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3"/>
      <c r="BG16" s="293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</row>
    <row r="17" spans="1:97" s="1" customFormat="1" ht="18" customHeight="1">
      <c r="A17" s="6"/>
      <c r="B17" s="38"/>
      <c r="C17" s="39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304" t="s">
        <v>44</v>
      </c>
      <c r="Q17" s="304"/>
      <c r="R17" s="304"/>
      <c r="S17" s="304"/>
      <c r="T17" s="304"/>
      <c r="U17" s="301"/>
      <c r="V17" s="301"/>
      <c r="W17" s="301"/>
      <c r="X17" s="301"/>
      <c r="Y17" s="301"/>
      <c r="Z17" s="301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84"/>
      <c r="AL17" s="305" t="s">
        <v>22</v>
      </c>
      <c r="AM17" s="305"/>
      <c r="AN17" s="307"/>
      <c r="AO17" s="307"/>
      <c r="AP17" s="295"/>
      <c r="AQ17" s="295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2" t="str">
        <f>IF(AND($U$15="NO",AR17&gt;0,AV17&gt;0,AZ17&gt;0),SUM('CARTELLINO 10righe'!BJ86:BJ87),IF(AND($U$15="SI",AP17&gt;0,AR17&gt;0,AV17&gt;0,AZ17&gt;0),SUM('CARTELLINO 10righe'!BJ86:BJ87),""))</f>
        <v/>
      </c>
      <c r="BG17" s="293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</row>
    <row r="18" spans="1:97" ht="18" customHeight="1">
      <c r="A18" s="6"/>
      <c r="B18" s="38"/>
      <c r="C18" s="39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304" t="s">
        <v>57</v>
      </c>
      <c r="Q18" s="304"/>
      <c r="R18" s="304"/>
      <c r="S18" s="304"/>
      <c r="T18" s="304"/>
      <c r="U18" s="301"/>
      <c r="V18" s="301"/>
      <c r="W18" s="301"/>
      <c r="X18" s="301"/>
      <c r="Y18" s="301"/>
      <c r="Z18" s="301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84"/>
      <c r="AL18" s="305"/>
      <c r="AM18" s="305"/>
      <c r="AN18" s="307"/>
      <c r="AO18" s="307"/>
      <c r="AP18" s="295"/>
      <c r="AQ18" s="295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3"/>
      <c r="BG18" s="293"/>
      <c r="BH18" s="6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s="1" customFormat="1" ht="18" customHeight="1">
      <c r="A19" s="6"/>
      <c r="B19" s="38"/>
      <c r="C19" s="39"/>
      <c r="D19" s="8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  <c r="P19" s="304" t="s">
        <v>2</v>
      </c>
      <c r="Q19" s="304"/>
      <c r="R19" s="304"/>
      <c r="S19" s="304"/>
      <c r="T19" s="304"/>
      <c r="U19" s="316"/>
      <c r="V19" s="316"/>
      <c r="W19" s="316"/>
      <c r="X19" s="316"/>
      <c r="Y19" s="316"/>
      <c r="Z19" s="316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84"/>
      <c r="AL19" s="305" t="s">
        <v>23</v>
      </c>
      <c r="AM19" s="305"/>
      <c r="AN19" s="307"/>
      <c r="AO19" s="307"/>
      <c r="AP19" s="295"/>
      <c r="AQ19" s="295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2" t="str">
        <f>IF(AND($U$15="NO",AR19&gt;0,AV19&gt;0,AZ19&gt;0),SUM('CARTELLINO 10righe'!BJ90:BJ91),IF(AND($U$15="SI",AP19&gt;0,AR19&gt;0,AV19&gt;0,AZ19&gt;0),SUM('CARTELLINO 10righe'!BJ90:BJ91),""))</f>
        <v/>
      </c>
      <c r="BG19" s="293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s="1" customFormat="1" ht="18" customHeight="1">
      <c r="A20" s="6"/>
      <c r="B20" s="38"/>
      <c r="C20" s="39"/>
      <c r="D20" s="8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88" t="s">
        <v>171</v>
      </c>
      <c r="AK20" s="22"/>
      <c r="AL20" s="305"/>
      <c r="AM20" s="305"/>
      <c r="AN20" s="307"/>
      <c r="AO20" s="307"/>
      <c r="AP20" s="295"/>
      <c r="AQ20" s="295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3"/>
      <c r="BG20" s="293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s="1" customFormat="1" ht="18" customHeight="1">
      <c r="A21" s="6"/>
      <c r="B21" s="38"/>
      <c r="C21" s="39"/>
      <c r="D21" s="312"/>
      <c r="E21" s="8"/>
      <c r="F21" s="6"/>
      <c r="G21" s="6"/>
      <c r="H21" s="6"/>
      <c r="I21" s="6"/>
      <c r="J21" s="6"/>
      <c r="K21" s="6"/>
      <c r="L21" s="6"/>
      <c r="M21" s="6"/>
      <c r="N21" s="6"/>
      <c r="O21" s="6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88"/>
      <c r="AK21" s="22"/>
      <c r="AL21" s="305" t="s">
        <v>24</v>
      </c>
      <c r="AM21" s="305"/>
      <c r="AN21" s="307"/>
      <c r="AO21" s="307"/>
      <c r="AP21" s="295"/>
      <c r="AQ21" s="295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2" t="str">
        <f>IF(AND($U$15="NO",AR21&gt;0,AV21&gt;0,AZ21&gt;0),SUM('CARTELLINO 10righe'!BJ94:BJ95),IF(AND($U$15="SI",AP21&gt;0,AR21&gt;0,AV21&gt;0,AZ21&gt;0),SUM('CARTELLINO 10righe'!BJ94:BJ95),""))</f>
        <v/>
      </c>
      <c r="BG21" s="293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s="1" customFormat="1" ht="18" customHeight="1">
      <c r="A22" s="6"/>
      <c r="B22" s="38"/>
      <c r="C22" s="39"/>
      <c r="D22" s="312"/>
      <c r="E22" s="8"/>
      <c r="F22" s="6"/>
      <c r="G22" s="6"/>
      <c r="H22" s="6"/>
      <c r="I22" s="6"/>
      <c r="J22" s="6"/>
      <c r="K22" s="6"/>
      <c r="L22" s="6"/>
      <c r="M22" s="6"/>
      <c r="N22" s="6"/>
      <c r="O22" s="6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88"/>
      <c r="AK22" s="22"/>
      <c r="AL22" s="305"/>
      <c r="AM22" s="305"/>
      <c r="AN22" s="307"/>
      <c r="AO22" s="307"/>
      <c r="AP22" s="295"/>
      <c r="AQ22" s="295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3"/>
      <c r="BG22" s="293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s="1" customFormat="1" ht="18" customHeight="1">
      <c r="A23" s="6"/>
      <c r="B23" s="38"/>
      <c r="C23" s="39"/>
      <c r="D23" s="312"/>
      <c r="E23" s="8"/>
      <c r="F23" s="6"/>
      <c r="G23" s="6"/>
      <c r="H23" s="6"/>
      <c r="I23" s="6"/>
      <c r="J23" s="6"/>
      <c r="K23" s="6"/>
      <c r="L23" s="6"/>
      <c r="M23" s="6"/>
      <c r="N23" s="6"/>
      <c r="O23" s="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88"/>
      <c r="AK23" s="22"/>
      <c r="AL23" s="305" t="s">
        <v>25</v>
      </c>
      <c r="AM23" s="305"/>
      <c r="AN23" s="307"/>
      <c r="AO23" s="307"/>
      <c r="AP23" s="295"/>
      <c r="AQ23" s="295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2" t="str">
        <f>IF(AND($U$15="NO",AR23&gt;0,AV23&gt;0,AZ23&gt;0),SUM('CARTELLINO 10righe'!BJ98:BJ99),IF(AND($U$15="SI",AP23&gt;0,AR23&gt;0,AV23&gt;0,AZ23&gt;0),SUM('CARTELLINO 10righe'!BJ98:BJ99),""))</f>
        <v/>
      </c>
      <c r="BG23" s="293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s="1" customFormat="1" ht="18" customHeight="1">
      <c r="A24" s="6"/>
      <c r="B24" s="38"/>
      <c r="C24" s="39"/>
      <c r="D24" s="312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88"/>
      <c r="AK24" s="22"/>
      <c r="AL24" s="305"/>
      <c r="AM24" s="305"/>
      <c r="AN24" s="307"/>
      <c r="AO24" s="307"/>
      <c r="AP24" s="295"/>
      <c r="AQ24" s="295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3"/>
      <c r="BG24" s="293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s="1" customFormat="1" ht="18" customHeight="1">
      <c r="A25" s="6"/>
      <c r="B25" s="38"/>
      <c r="C25" s="39"/>
      <c r="D25" s="312"/>
      <c r="E25" s="8"/>
      <c r="F25" s="6"/>
      <c r="G25" s="6"/>
      <c r="H25" s="6"/>
      <c r="I25" s="6"/>
      <c r="J25" s="6"/>
      <c r="K25" s="6"/>
      <c r="L25" s="6"/>
      <c r="M25" s="6"/>
      <c r="N25" s="6"/>
      <c r="O25" s="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88"/>
      <c r="AK25" s="22"/>
      <c r="AL25" s="305" t="s">
        <v>26</v>
      </c>
      <c r="AM25" s="305"/>
      <c r="AN25" s="307"/>
      <c r="AO25" s="307"/>
      <c r="AP25" s="295"/>
      <c r="AQ25" s="295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2" t="str">
        <f>IF(AND($U$15="NO",AR25&gt;0,AV25&gt;0,AZ25&gt;0),SUM('CARTELLINO 10righe'!BJ102:BJ103),IF(AND($U$15="SI",AP25&gt;0,AR25&gt;0,AV25&gt;0,AZ25&gt;0),SUM('CARTELLINO 10righe'!BJ102:BJ103),""))</f>
        <v/>
      </c>
      <c r="BG25" s="293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  <row r="26" spans="1:97" ht="18" customHeight="1">
      <c r="A26" s="6"/>
      <c r="B26" s="38"/>
      <c r="C26" s="3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88"/>
      <c r="AK26" s="22"/>
      <c r="AL26" s="305"/>
      <c r="AM26" s="305"/>
      <c r="AN26" s="307"/>
      <c r="AO26" s="307"/>
      <c r="AP26" s="295"/>
      <c r="AQ26" s="295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3"/>
      <c r="BG26" s="293"/>
      <c r="BH26" s="6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</row>
    <row r="27" spans="1:97" ht="18" customHeight="1">
      <c r="A27" s="6"/>
      <c r="B27" s="38"/>
      <c r="C27" s="3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88"/>
      <c r="AK27" s="22"/>
      <c r="AL27" s="305" t="s">
        <v>27</v>
      </c>
      <c r="AM27" s="305"/>
      <c r="AN27" s="307"/>
      <c r="AO27" s="307"/>
      <c r="AP27" s="295"/>
      <c r="AQ27" s="295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2" t="str">
        <f>IF(AND($U$15="NO",AR27&gt;0,AV27&gt;0,AZ27&gt;0),SUM('CARTELLINO 10righe'!BJ106:BJ107),IF(AND($U$15="SI",AP27&gt;0,AR27&gt;0,AV27&gt;0,AZ27&gt;0),SUM('CARTELLINO 10righe'!BJ106:BJ107),""))</f>
        <v/>
      </c>
      <c r="BG27" s="293"/>
      <c r="BH27" s="6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</row>
    <row r="28" spans="1:97" ht="18" customHeight="1">
      <c r="A28" s="6"/>
      <c r="B28" s="38"/>
      <c r="C28" s="3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88"/>
      <c r="AK28" s="22"/>
      <c r="AL28" s="305"/>
      <c r="AM28" s="305"/>
      <c r="AN28" s="307"/>
      <c r="AO28" s="307"/>
      <c r="AP28" s="295"/>
      <c r="AQ28" s="295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3"/>
      <c r="BG28" s="293"/>
      <c r="BH28" s="6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</row>
    <row r="29" spans="1:97" s="1" customFormat="1" ht="18" customHeight="1">
      <c r="A29" s="6"/>
      <c r="B29" s="38"/>
      <c r="C29" s="39"/>
      <c r="D29" s="8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88"/>
      <c r="AK29" s="22"/>
      <c r="AL29" s="310" t="s">
        <v>152</v>
      </c>
      <c r="AM29" s="310"/>
      <c r="AN29" s="310"/>
      <c r="AO29" s="310"/>
      <c r="AP29" s="310"/>
      <c r="AQ29" s="310"/>
      <c r="AR29" s="311" t="s">
        <v>168</v>
      </c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</row>
    <row r="30" spans="1:97" s="1" customFormat="1" ht="18" customHeight="1">
      <c r="A30" s="6"/>
      <c r="B30" s="38"/>
      <c r="C30" s="39"/>
      <c r="D30" s="312"/>
      <c r="E30" s="8"/>
      <c r="F30" s="6"/>
      <c r="G30" s="6"/>
      <c r="H30" s="6"/>
      <c r="I30" s="6"/>
      <c r="J30" s="6"/>
      <c r="K30" s="6"/>
      <c r="L30" s="6"/>
      <c r="M30" s="6"/>
      <c r="N30" s="6"/>
      <c r="O30" s="6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88"/>
      <c r="AK30" s="22"/>
      <c r="AL30" s="276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</row>
    <row r="31" spans="1:97" s="1" customFormat="1" ht="18" customHeight="1">
      <c r="A31" s="6"/>
      <c r="B31" s="38"/>
      <c r="C31" s="39"/>
      <c r="D31" s="312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88"/>
      <c r="AK31" s="22"/>
      <c r="AL31" s="27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80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</row>
    <row r="32" spans="1:97" s="1" customFormat="1" ht="18" customHeight="1">
      <c r="A32" s="6"/>
      <c r="B32" s="38"/>
      <c r="C32" s="39"/>
      <c r="D32" s="312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88"/>
      <c r="AK32" s="22"/>
      <c r="AL32" s="27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80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</row>
    <row r="33" spans="1:97" s="1" customFormat="1" ht="18" customHeight="1">
      <c r="A33" s="6"/>
      <c r="B33" s="38"/>
      <c r="C33" s="39"/>
      <c r="D33" s="312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88"/>
      <c r="AK33" s="22"/>
      <c r="AL33" s="284" t="str">
        <f>IF(U16="ALTRO","ALLEGA SCHEDA TECNICA DELLA GUIDA","")</f>
        <v/>
      </c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69"/>
      <c r="BC33" s="269"/>
      <c r="BD33" s="281" t="str">
        <f>IF(AND(BB33&lt;&gt;"",BD34&lt;&gt;""),"€ cad.","")</f>
        <v/>
      </c>
      <c r="BE33" s="281"/>
      <c r="BF33" s="267" t="str">
        <f>IF(AND(BB33&lt;&gt;0,BD34="PZ DA 1125mm"),Foglio1!$J$161,IF(AND(BB34&lt;&gt;0,BD34="PZ DA 2000mm"),Foglio1!$D$161,""))</f>
        <v/>
      </c>
      <c r="BG33" s="26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</row>
    <row r="34" spans="1:97" s="1" customFormat="1" ht="18" customHeight="1">
      <c r="A34" s="6"/>
      <c r="B34" s="38"/>
      <c r="C34" s="39"/>
      <c r="D34" s="8"/>
      <c r="E34" s="8"/>
      <c r="F34" s="6"/>
      <c r="G34" s="6"/>
      <c r="H34" s="6"/>
      <c r="I34" s="6"/>
      <c r="J34" s="6"/>
      <c r="K34" s="6"/>
      <c r="L34" s="6"/>
      <c r="M34" s="6"/>
      <c r="N34" s="6"/>
      <c r="O34" s="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88"/>
      <c r="AK34" s="22"/>
      <c r="AL34" s="282" t="str">
        <f>IF(BD34&lt;&gt;"","BARRA STABILIZZATRICE CONSIGLIATA, DARE N°","")</f>
        <v/>
      </c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70"/>
      <c r="BC34" s="270"/>
      <c r="BD34" s="282" t="str">
        <f>IF(DATI!$E$24&lt;&gt;0,"PZ DA 2000mm",IF(DATI!$H$24&lt;&gt;0,"PZ DA 1125mm",""))</f>
        <v/>
      </c>
      <c r="BE34" s="283"/>
      <c r="BF34" s="283"/>
      <c r="BG34" s="283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</row>
    <row r="35" spans="1:97" s="1" customFormat="1" ht="18" customHeight="1">
      <c r="A35" s="6"/>
      <c r="B35" s="38"/>
      <c r="C35" s="39"/>
      <c r="D35" s="8"/>
      <c r="E35" s="8"/>
      <c r="F35" s="6"/>
      <c r="G35" s="6"/>
      <c r="H35" s="6"/>
      <c r="I35" s="6"/>
      <c r="J35" s="6"/>
      <c r="K35" s="6"/>
      <c r="L35" s="6"/>
      <c r="M35" s="6"/>
      <c r="N35" s="6"/>
      <c r="O35" s="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88"/>
      <c r="AK35" s="22"/>
      <c r="AL35" s="274" t="str">
        <f>IF(DATI!$H$21&gt;0,"N°","")</f>
        <v/>
      </c>
      <c r="AM35" s="275"/>
      <c r="AN35" s="271" t="str">
        <f>IF(DATI!$H$21&gt;0,DATI!$H$21,"")</f>
        <v/>
      </c>
      <c r="AO35" s="271"/>
      <c r="AP35" s="272" t="str">
        <f>IF(DATI!$H$21&gt;0,DATI!$H$22,"")</f>
        <v/>
      </c>
      <c r="AQ35" s="272"/>
      <c r="AR35" s="273"/>
      <c r="AS35" s="274" t="str">
        <f>IF(DATI!$I$21&gt;0,"N°","")</f>
        <v/>
      </c>
      <c r="AT35" s="275"/>
      <c r="AU35" s="271" t="str">
        <f>IF(DATI!$I$21&gt;0,DATI!$I$21,"")</f>
        <v/>
      </c>
      <c r="AV35" s="271"/>
      <c r="AW35" s="272" t="str">
        <f>IF(DATI!$I$21&gt;0,DATI!$I$22,"")</f>
        <v/>
      </c>
      <c r="AX35" s="272"/>
      <c r="AY35" s="272"/>
      <c r="AZ35" s="273"/>
      <c r="BA35" s="274" t="str">
        <f>IF(DATI!$J$21&gt;0,"N°","")</f>
        <v/>
      </c>
      <c r="BB35" s="275"/>
      <c r="BC35" s="271" t="str">
        <f>IF(DATI!$J$21&gt;0,DATI!$J$21,"")</f>
        <v/>
      </c>
      <c r="BD35" s="271"/>
      <c r="BE35" s="272" t="str">
        <f>IF(DATI!$L$21&gt;0,DATI!$L$22,"")</f>
        <v/>
      </c>
      <c r="BF35" s="272"/>
      <c r="BG35" s="273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</row>
    <row r="36" spans="1:97" s="1" customFormat="1" ht="18" customHeight="1">
      <c r="A36" s="6"/>
      <c r="B36" s="38"/>
      <c r="C36" s="39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88"/>
      <c r="AK36" s="22"/>
      <c r="AL36" s="294" t="str">
        <f>IF(OR(AL35&lt;&gt;"",AL37&lt;&gt;""),"€","")</f>
        <v/>
      </c>
      <c r="AM36" s="287"/>
      <c r="AN36" s="286" t="str">
        <f>IF(OR(AN35&lt;&gt;"",AN37&lt;&gt;""),"cad.","")</f>
        <v/>
      </c>
      <c r="AO36" s="286"/>
      <c r="AP36" s="272" t="str">
        <f>IF(AP35&lt;&gt;"",Foglio1!G161,IF(AP37&lt;&gt;"",Foglio1!A161,""))</f>
        <v/>
      </c>
      <c r="AQ36" s="272"/>
      <c r="AR36" s="273"/>
      <c r="AS36" s="287" t="str">
        <f>IF(OR(AS35&lt;&gt;"",AS37&lt;&gt;""),"€","")</f>
        <v/>
      </c>
      <c r="AT36" s="287"/>
      <c r="AU36" s="286" t="str">
        <f>IF(OR(AU35&lt;&gt;"",AU37&lt;&gt;""),"cad.","")</f>
        <v/>
      </c>
      <c r="AV36" s="286"/>
      <c r="AW36" s="272" t="str">
        <f>IF(AW35&lt;&gt;"",Foglio1!H161,IF(AW37&lt;&gt;"",Foglio1!B161,""))</f>
        <v/>
      </c>
      <c r="AX36" s="272"/>
      <c r="AY36" s="272"/>
      <c r="AZ36" s="273"/>
      <c r="BA36" s="287" t="str">
        <f>IF(OR(BA35&lt;&gt;"",BA37&lt;&gt;""),"€","")</f>
        <v/>
      </c>
      <c r="BB36" s="287"/>
      <c r="BC36" s="286" t="str">
        <f>IF(OR(BC35&lt;&gt;"",BC37&lt;&gt;""),"cad.","")</f>
        <v/>
      </c>
      <c r="BD36" s="286"/>
      <c r="BE36" s="272" t="str">
        <f>IF(BE35&lt;&gt;"",Foglio1!I161,IF(BE37&lt;&gt;"",Foglio1!C161,""))</f>
        <v/>
      </c>
      <c r="BF36" s="272"/>
      <c r="BG36" s="273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</row>
    <row r="37" spans="1:97" s="1" customFormat="1" ht="18" customHeight="1">
      <c r="A37" s="6"/>
      <c r="B37" s="38"/>
      <c r="C37" s="3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88"/>
      <c r="AK37" s="22"/>
      <c r="AL37" s="274" t="str">
        <f>IF(DATI!$E21&gt;0,"N°","")</f>
        <v/>
      </c>
      <c r="AM37" s="275"/>
      <c r="AN37" s="271" t="str">
        <f>IF(DATI!$E$21&gt;0,DATI!$E$21,"")</f>
        <v/>
      </c>
      <c r="AO37" s="271"/>
      <c r="AP37" s="272" t="str">
        <f>IF(DATI!$E$21&gt;0,DATI!$E$22,"")</f>
        <v/>
      </c>
      <c r="AQ37" s="272"/>
      <c r="AR37" s="273"/>
      <c r="AS37" s="274" t="str">
        <f>IF(DATI!$F$21&gt;0,"N°","")</f>
        <v/>
      </c>
      <c r="AT37" s="275"/>
      <c r="AU37" s="271" t="str">
        <f>IF(DATI!$F$21&gt;0,DATI!$F$21,"")</f>
        <v/>
      </c>
      <c r="AV37" s="271"/>
      <c r="AW37" s="289" t="str">
        <f>IF(DATI!$F$21&gt;0,DATI!$F$22,"")</f>
        <v/>
      </c>
      <c r="AX37" s="289"/>
      <c r="AY37" s="289"/>
      <c r="AZ37" s="290"/>
      <c r="BA37" s="274" t="str">
        <f>IF(DATI!$G$21&gt;0,"N°","")</f>
        <v/>
      </c>
      <c r="BB37" s="275"/>
      <c r="BC37" s="271" t="str">
        <f>IF(DATI!$G$21&gt;0,DATI!$G$21,"")</f>
        <v/>
      </c>
      <c r="BD37" s="271"/>
      <c r="BE37" s="289" t="str">
        <f>IF(DATI!$G$21&gt;0,DATI!$G$22,"")</f>
        <v/>
      </c>
      <c r="BF37" s="289"/>
      <c r="BG37" s="290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</row>
    <row r="38" spans="1:97" ht="18" customHeight="1">
      <c r="A38" s="6"/>
      <c r="B38" s="38"/>
      <c r="C38" s="3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</row>
    <row r="39" spans="1:97" ht="18" customHeight="1">
      <c r="A39" s="6"/>
      <c r="B39" s="38"/>
      <c r="C39" s="3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</row>
    <row r="40" spans="1:97" ht="18" customHeight="1">
      <c r="A40" s="6"/>
      <c r="B40" s="38"/>
      <c r="C40" s="3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</row>
    <row r="41" spans="1:97" ht="18" customHeight="1">
      <c r="A41" s="6"/>
      <c r="B41" s="38"/>
      <c r="C41" s="3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</row>
    <row r="42" spans="1:97" ht="18" customHeight="1">
      <c r="A42" s="6"/>
      <c r="B42" s="6"/>
      <c r="C42" s="3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</row>
    <row r="43" spans="1:97" ht="18" customHeight="1">
      <c r="A43" s="6"/>
      <c r="B43" s="40"/>
      <c r="C43" s="3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</row>
    <row r="44" spans="1:97" ht="18" customHeight="1">
      <c r="A44" s="6"/>
      <c r="B44" s="40"/>
      <c r="C44" s="3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</row>
    <row r="45" spans="1:97" s="2" customFormat="1" ht="18" customHeight="1">
      <c r="A45" s="6"/>
      <c r="B45" s="7"/>
      <c r="C45" s="3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</row>
    <row r="46" spans="1:97" s="1" customFormat="1" ht="18" customHeight="1">
      <c r="A46" s="6"/>
      <c r="B46" s="8"/>
      <c r="C46" s="3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</row>
    <row r="47" spans="1:97" s="1" customFormat="1" ht="18" customHeight="1">
      <c r="A47" s="6"/>
      <c r="B47" s="41"/>
      <c r="C47" s="3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</row>
    <row r="48" spans="1:97" s="1" customFormat="1" ht="18" customHeight="1">
      <c r="A48" s="6"/>
      <c r="B48" s="8"/>
      <c r="C48" s="3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</row>
    <row r="49" spans="1:97" ht="18" customHeight="1">
      <c r="A49" s="6"/>
      <c r="B49" s="41"/>
      <c r="C49" s="3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</row>
    <row r="50" spans="1:97" s="1" customFormat="1" ht="18" customHeight="1">
      <c r="A50" s="6"/>
      <c r="B50" s="41"/>
      <c r="C50" s="3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</row>
    <row r="51" spans="1:97" s="1" customFormat="1" ht="18" customHeight="1">
      <c r="A51" s="6"/>
      <c r="B51" s="41"/>
      <c r="C51" s="3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</row>
    <row r="52" spans="1:97" s="1" customFormat="1" ht="18" customHeight="1">
      <c r="A52" s="6"/>
      <c r="B52" s="8"/>
      <c r="C52" s="4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</row>
    <row r="53" spans="1:97" ht="18" customHeight="1">
      <c r="A53" s="6"/>
      <c r="B53" s="43"/>
      <c r="C53" s="4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</row>
    <row r="54" spans="1:97" s="1" customFormat="1" ht="18" customHeight="1">
      <c r="A54" s="6"/>
      <c r="B54" s="43"/>
      <c r="C54" s="43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</row>
    <row r="55" spans="1:97" s="1" customFormat="1" ht="18" customHeight="1">
      <c r="A55" s="6"/>
      <c r="B55" s="8"/>
      <c r="C55" s="10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</row>
    <row r="56" spans="1:97" ht="18" customHeight="1">
      <c r="A56" s="6"/>
      <c r="B56" s="6"/>
      <c r="C56" s="4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</row>
    <row r="57" spans="1:97" s="1" customFormat="1" ht="18" customHeight="1">
      <c r="A57" s="6"/>
      <c r="B57" s="8"/>
      <c r="C57" s="10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</row>
    <row r="58" spans="1:97" s="1" customFormat="1" ht="18" customHeight="1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</row>
    <row r="59" spans="1:97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</row>
    <row r="60" spans="1:97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</row>
    <row r="61" spans="1:97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</row>
    <row r="62" spans="1:97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</row>
    <row r="63" spans="1:97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</row>
    <row r="64" spans="1:97" ht="14.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</row>
    <row r="65" spans="1:97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6"/>
      <c r="AZ65" s="6"/>
      <c r="BA65" s="6"/>
      <c r="BB65" s="6"/>
      <c r="BC65" s="6"/>
      <c r="BD65" s="15"/>
      <c r="BE65" s="15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</row>
    <row r="66" spans="1:97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09"/>
      <c r="AQ66" s="309"/>
      <c r="AR66" s="309"/>
      <c r="AS66" s="309"/>
      <c r="AT66" s="309"/>
      <c r="AU66" s="309"/>
      <c r="AV66" s="309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</row>
    <row r="67" spans="1:97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7"/>
      <c r="Q67" s="8"/>
      <c r="R67" s="8"/>
      <c r="S67" s="8"/>
      <c r="T67" s="10"/>
      <c r="U67" s="8"/>
      <c r="V67" s="8"/>
      <c r="W67" s="8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</row>
    <row r="68" spans="1:97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7"/>
      <c r="Q68" s="8"/>
      <c r="R68" s="8"/>
      <c r="S68" s="8"/>
      <c r="T68" s="10"/>
      <c r="U68" s="8"/>
      <c r="V68" s="8"/>
      <c r="W68" s="8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</row>
    <row r="69" spans="1:97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  <c r="Q69" s="8"/>
      <c r="R69" s="8"/>
      <c r="S69" s="8"/>
      <c r="T69" s="10"/>
      <c r="U69" s="8"/>
      <c r="V69" s="8"/>
      <c r="W69" s="8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</row>
    <row r="70" spans="1:97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7"/>
      <c r="Q70" s="8"/>
      <c r="R70" s="8"/>
      <c r="S70" s="8"/>
      <c r="T70" s="10"/>
      <c r="U70" s="8"/>
      <c r="V70" s="8"/>
      <c r="W70" s="8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</row>
    <row r="71" spans="1:9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</row>
    <row r="72" spans="1:97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</row>
    <row r="73" spans="1:97" ht="24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1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</row>
    <row r="74" spans="1:97" ht="21.9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1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</row>
    <row r="75" spans="1:97" ht="20.10000000000000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308"/>
      <c r="Q75" s="308"/>
      <c r="R75" s="308"/>
      <c r="S75" s="308"/>
      <c r="T75" s="308"/>
      <c r="U75" s="308"/>
      <c r="V75" s="308"/>
      <c r="W75" s="308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</row>
    <row r="76" spans="1:97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</row>
    <row r="77" spans="1:97" ht="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  <c r="Q77" s="9"/>
      <c r="R77" s="9"/>
      <c r="S77" s="9"/>
      <c r="T77" s="9"/>
      <c r="U77" s="9"/>
      <c r="V77" s="9"/>
      <c r="W77" s="9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</row>
    <row r="78" spans="1:97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7"/>
      <c r="Q78" s="8"/>
      <c r="R78" s="8"/>
      <c r="S78" s="8"/>
      <c r="T78" s="8"/>
      <c r="U78" s="8"/>
      <c r="V78" s="8"/>
      <c r="W78" s="8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</row>
    <row r="79" spans="1:97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7"/>
      <c r="Q79" s="8"/>
      <c r="R79" s="8"/>
      <c r="S79" s="8"/>
      <c r="T79" s="8"/>
      <c r="U79" s="8"/>
      <c r="V79" s="8"/>
      <c r="W79" s="8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</row>
    <row r="80" spans="1:97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7"/>
      <c r="Q80" s="8"/>
      <c r="R80" s="8"/>
      <c r="S80" s="8"/>
      <c r="T80" s="10"/>
      <c r="U80" s="8"/>
      <c r="V80" s="8"/>
      <c r="W80" s="8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</row>
    <row r="81" spans="1:97" ht="14.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</row>
    <row r="82" spans="1:97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7"/>
      <c r="Q82" s="8"/>
      <c r="R82" s="8"/>
      <c r="S82" s="8"/>
      <c r="T82" s="8"/>
      <c r="U82" s="8"/>
      <c r="V82" s="8"/>
      <c r="W82" s="8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</row>
    <row r="83" spans="1:97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7"/>
      <c r="Q83" s="8"/>
      <c r="R83" s="8"/>
      <c r="S83" s="8"/>
      <c r="T83" s="8"/>
      <c r="U83" s="8"/>
      <c r="V83" s="8"/>
      <c r="W83" s="8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</row>
    <row r="84" spans="1:97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7"/>
      <c r="Q84" s="8"/>
      <c r="R84" s="8"/>
      <c r="S84" s="8"/>
      <c r="T84" s="10"/>
      <c r="U84" s="8"/>
      <c r="V84" s="8"/>
      <c r="W84" s="8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</row>
    <row r="85" spans="1:97" ht="14.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</row>
    <row r="86" spans="1:97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7"/>
      <c r="Q86" s="8"/>
      <c r="R86" s="8"/>
      <c r="S86" s="8"/>
      <c r="T86" s="8"/>
      <c r="U86" s="8"/>
      <c r="V86" s="8"/>
      <c r="W86" s="8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</row>
    <row r="87" spans="1:97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"/>
      <c r="Q87" s="8"/>
      <c r="R87" s="8"/>
      <c r="S87" s="8"/>
      <c r="T87" s="8"/>
      <c r="U87" s="8"/>
      <c r="V87" s="8"/>
      <c r="W87" s="8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</row>
    <row r="88" spans="1:97" ht="18" customHeight="1">
      <c r="P88" s="2"/>
      <c r="Q88" s="1"/>
      <c r="R88" s="1"/>
      <c r="S88" s="1"/>
      <c r="T88" s="3"/>
      <c r="U88" s="1"/>
      <c r="V88" s="1"/>
      <c r="W88" s="1"/>
    </row>
    <row r="89" spans="1:97" ht="14.1" customHeight="1"/>
    <row r="90" spans="1:97" ht="18" customHeight="1">
      <c r="P90" s="2"/>
      <c r="Q90" s="1"/>
      <c r="R90" s="1"/>
      <c r="S90" s="1"/>
      <c r="T90" s="1"/>
      <c r="U90" s="1"/>
      <c r="V90" s="1"/>
      <c r="W90" s="1"/>
    </row>
    <row r="91" spans="1:97" ht="18" customHeight="1">
      <c r="P91" s="2"/>
      <c r="Q91" s="1"/>
      <c r="R91" s="1"/>
      <c r="S91" s="1"/>
      <c r="T91" s="1"/>
      <c r="U91" s="1"/>
      <c r="V91" s="1"/>
      <c r="W91" s="1"/>
    </row>
    <row r="92" spans="1:97" ht="18" customHeight="1">
      <c r="P92" s="2"/>
      <c r="Q92" s="1"/>
      <c r="R92" s="1"/>
      <c r="S92" s="1"/>
      <c r="T92" s="3"/>
      <c r="U92" s="1"/>
      <c r="V92" s="1"/>
      <c r="W92" s="1"/>
    </row>
    <row r="93" spans="1:97" ht="13.8">
      <c r="P93" s="2"/>
      <c r="Q93" s="1"/>
      <c r="R93" s="1"/>
      <c r="S93" s="1"/>
    </row>
    <row r="94" spans="1:97" ht="13.8">
      <c r="P94" s="2"/>
      <c r="Q94" s="1"/>
      <c r="R94" s="1"/>
      <c r="S94" s="1"/>
    </row>
  </sheetData>
  <sheetProtection algorithmName="SHA-512" hashValue="radHb+ZtHYxELwPgXh+fNq4RfKS/caypQosTduRvWdj00xzWblfKoUTFAgLGyjY4ikyBIIIVrViOvoIJTC1HPg==" saltValue="N6oqhqIVZweLyE8F+Q3Hcw==" spinCount="100000" sheet="1" objects="1" scenarios="1" selectLockedCells="1"/>
  <mergeCells count="159">
    <mergeCell ref="AL17:AM18"/>
    <mergeCell ref="AL19:AM20"/>
    <mergeCell ref="AZ15:BC16"/>
    <mergeCell ref="AZ27:BC28"/>
    <mergeCell ref="BF19:BG20"/>
    <mergeCell ref="AN27:AO28"/>
    <mergeCell ref="BF23:BG24"/>
    <mergeCell ref="BF25:BG26"/>
    <mergeCell ref="BF27:BG28"/>
    <mergeCell ref="AZ19:BC20"/>
    <mergeCell ref="AZ21:BC22"/>
    <mergeCell ref="AZ23:BC24"/>
    <mergeCell ref="BF15:BG16"/>
    <mergeCell ref="BF17:BG18"/>
    <mergeCell ref="BD23:BE24"/>
    <mergeCell ref="BD17:BE18"/>
    <mergeCell ref="BD19:BE20"/>
    <mergeCell ref="BD21:BE22"/>
    <mergeCell ref="P12:T12"/>
    <mergeCell ref="P13:T13"/>
    <mergeCell ref="P8:T8"/>
    <mergeCell ref="P14:T14"/>
    <mergeCell ref="BF5:BG7"/>
    <mergeCell ref="AV15:AY16"/>
    <mergeCell ref="AV17:AY18"/>
    <mergeCell ref="AV19:AY20"/>
    <mergeCell ref="AV21:AY22"/>
    <mergeCell ref="AV11:AY12"/>
    <mergeCell ref="AN13:AO14"/>
    <mergeCell ref="AV13:AY14"/>
    <mergeCell ref="AN11:AO12"/>
    <mergeCell ref="AP9:AQ10"/>
    <mergeCell ref="AP11:AQ12"/>
    <mergeCell ref="BD5:BE7"/>
    <mergeCell ref="BD11:BE12"/>
    <mergeCell ref="BD13:BE14"/>
    <mergeCell ref="BD15:BE16"/>
    <mergeCell ref="BD9:BE10"/>
    <mergeCell ref="AN9:AO10"/>
    <mergeCell ref="AR21:AU22"/>
    <mergeCell ref="AP19:AQ20"/>
    <mergeCell ref="AP13:AQ14"/>
    <mergeCell ref="P10:T10"/>
    <mergeCell ref="P11:T11"/>
    <mergeCell ref="AZ9:BC10"/>
    <mergeCell ref="AZ11:BC12"/>
    <mergeCell ref="AZ13:BC14"/>
    <mergeCell ref="AR19:AU20"/>
    <mergeCell ref="P5:T6"/>
    <mergeCell ref="AA13:AJ19"/>
    <mergeCell ref="U16:Z16"/>
    <mergeCell ref="P7:AJ7"/>
    <mergeCell ref="U19:Z19"/>
    <mergeCell ref="P15:T15"/>
    <mergeCell ref="P16:T16"/>
    <mergeCell ref="P17:T17"/>
    <mergeCell ref="AL5:AM7"/>
    <mergeCell ref="AL9:AM10"/>
    <mergeCell ref="AL11:AM12"/>
    <mergeCell ref="AL13:AM14"/>
    <mergeCell ref="P19:T19"/>
    <mergeCell ref="U17:Z17"/>
    <mergeCell ref="U18:Z18"/>
    <mergeCell ref="P18:T18"/>
    <mergeCell ref="P9:T9"/>
    <mergeCell ref="U9:AJ9"/>
    <mergeCell ref="D21:D25"/>
    <mergeCell ref="D30:D33"/>
    <mergeCell ref="AN23:AO24"/>
    <mergeCell ref="AN25:AO26"/>
    <mergeCell ref="AP27:AQ28"/>
    <mergeCell ref="AP23:AQ24"/>
    <mergeCell ref="AN21:AO22"/>
    <mergeCell ref="AP21:AQ22"/>
    <mergeCell ref="AL21:AM22"/>
    <mergeCell ref="AL23:AM24"/>
    <mergeCell ref="U4:AJ4"/>
    <mergeCell ref="AR5:AU7"/>
    <mergeCell ref="AV5:AY7"/>
    <mergeCell ref="AP17:AQ18"/>
    <mergeCell ref="AN15:AO16"/>
    <mergeCell ref="AN17:AO18"/>
    <mergeCell ref="AN19:AO20"/>
    <mergeCell ref="P75:W75"/>
    <mergeCell ref="P66:AV66"/>
    <mergeCell ref="AR23:AU24"/>
    <mergeCell ref="AR25:AU26"/>
    <mergeCell ref="AR27:AU28"/>
    <mergeCell ref="AV25:AY26"/>
    <mergeCell ref="AP25:AQ26"/>
    <mergeCell ref="AL25:AM26"/>
    <mergeCell ref="AL27:AM28"/>
    <mergeCell ref="AL29:AQ29"/>
    <mergeCell ref="AR29:BG29"/>
    <mergeCell ref="BD25:BE26"/>
    <mergeCell ref="BD27:BE28"/>
    <mergeCell ref="AP37:AR37"/>
    <mergeCell ref="AW37:AZ37"/>
    <mergeCell ref="AN37:AO37"/>
    <mergeCell ref="AS37:AT37"/>
    <mergeCell ref="BF9:BG10"/>
    <mergeCell ref="BF11:BG12"/>
    <mergeCell ref="BF13:BG14"/>
    <mergeCell ref="AP15:AQ16"/>
    <mergeCell ref="AR13:AU14"/>
    <mergeCell ref="AR15:AU16"/>
    <mergeCell ref="AR17:AU18"/>
    <mergeCell ref="U5:AJ5"/>
    <mergeCell ref="U6:AJ6"/>
    <mergeCell ref="AZ5:BC7"/>
    <mergeCell ref="AN5:AO7"/>
    <mergeCell ref="AP5:AQ7"/>
    <mergeCell ref="AV9:AY10"/>
    <mergeCell ref="AR11:AU12"/>
    <mergeCell ref="U13:Z13"/>
    <mergeCell ref="U14:Z14"/>
    <mergeCell ref="U15:Z15"/>
    <mergeCell ref="U10:AJ10"/>
    <mergeCell ref="U11:AJ11"/>
    <mergeCell ref="U12:AJ12"/>
    <mergeCell ref="AR9:AU10"/>
    <mergeCell ref="U8:AJ8"/>
    <mergeCell ref="AZ17:BC18"/>
    <mergeCell ref="AL15:AM16"/>
    <mergeCell ref="AN36:AO36"/>
    <mergeCell ref="AP36:AR36"/>
    <mergeCell ref="AS36:AT36"/>
    <mergeCell ref="AU36:AV36"/>
    <mergeCell ref="AW36:AZ36"/>
    <mergeCell ref="BA36:BB36"/>
    <mergeCell ref="BC36:BD36"/>
    <mergeCell ref="BE36:BG36"/>
    <mergeCell ref="AJ20:AJ37"/>
    <mergeCell ref="AU37:AV37"/>
    <mergeCell ref="BA37:BB37"/>
    <mergeCell ref="BC37:BD37"/>
    <mergeCell ref="AL37:AM37"/>
    <mergeCell ref="BE37:BG37"/>
    <mergeCell ref="AV23:AY24"/>
    <mergeCell ref="AV27:AY28"/>
    <mergeCell ref="AZ25:BC26"/>
    <mergeCell ref="BF21:BG22"/>
    <mergeCell ref="AL36:AM36"/>
    <mergeCell ref="AL35:AM35"/>
    <mergeCell ref="AN35:AO35"/>
    <mergeCell ref="AP35:AR35"/>
    <mergeCell ref="AS35:AT35"/>
    <mergeCell ref="BD34:BG34"/>
    <mergeCell ref="BF33:BG33"/>
    <mergeCell ref="BB33:BC34"/>
    <mergeCell ref="AU35:AV35"/>
    <mergeCell ref="AW35:AZ35"/>
    <mergeCell ref="BA35:BB35"/>
    <mergeCell ref="BC35:BD35"/>
    <mergeCell ref="BE35:BG35"/>
    <mergeCell ref="AL30:BG32"/>
    <mergeCell ref="BD33:BE33"/>
    <mergeCell ref="AL34:BA34"/>
    <mergeCell ref="AL33:BA33"/>
  </mergeCells>
  <phoneticPr fontId="23" type="noConversion"/>
  <conditionalFormatting sqref="U13:Z13">
    <cfRule type="expression" dxfId="85" priority="425">
      <formula>$U$11&lt;&gt;""</formula>
    </cfRule>
    <cfRule type="expression" dxfId="84" priority="424">
      <formula>$U$13&gt;0</formula>
    </cfRule>
  </conditionalFormatting>
  <conditionalFormatting sqref="U14:Z14">
    <cfRule type="expression" dxfId="83" priority="423">
      <formula>$U$13&gt;0</formula>
    </cfRule>
    <cfRule type="expression" dxfId="82" priority="422">
      <formula>$U$14&gt;0</formula>
    </cfRule>
  </conditionalFormatting>
  <conditionalFormatting sqref="U15:Z15">
    <cfRule type="expression" dxfId="81" priority="421">
      <formula>$U$14&gt;0</formula>
    </cfRule>
    <cfRule type="expression" dxfId="80" priority="420">
      <formula>$U$15&gt;0</formula>
    </cfRule>
  </conditionalFormatting>
  <conditionalFormatting sqref="U16:Z16">
    <cfRule type="expression" dxfId="79" priority="419">
      <formula>$U$15&gt;0</formula>
    </cfRule>
    <cfRule type="expression" dxfId="78" priority="418">
      <formula>$U$16&gt;0</formula>
    </cfRule>
  </conditionalFormatting>
  <conditionalFormatting sqref="U17:Z17">
    <cfRule type="expression" dxfId="77" priority="417">
      <formula>$U$16&gt;0</formula>
    </cfRule>
    <cfRule type="expression" dxfId="76" priority="416">
      <formula>$U$17&gt;0</formula>
    </cfRule>
  </conditionalFormatting>
  <conditionalFormatting sqref="U18:Z18">
    <cfRule type="expression" dxfId="75" priority="414">
      <formula>$U$18&gt;0</formula>
    </cfRule>
    <cfRule type="expression" dxfId="74" priority="415">
      <formula>$U$17&gt;0</formula>
    </cfRule>
  </conditionalFormatting>
  <conditionalFormatting sqref="U19:Z19">
    <cfRule type="expression" dxfId="73" priority="413">
      <formula>$U$18&gt;0</formula>
    </cfRule>
    <cfRule type="expression" dxfId="72" priority="412">
      <formula>$U$19&gt;0</formula>
    </cfRule>
  </conditionalFormatting>
  <conditionalFormatting sqref="U9:AJ9">
    <cfRule type="expression" dxfId="71" priority="1">
      <formula>$U$9&lt;&gt;""</formula>
    </cfRule>
    <cfRule type="expression" dxfId="70" priority="2">
      <formula>$U$9=""</formula>
    </cfRule>
  </conditionalFormatting>
  <conditionalFormatting sqref="U10:AJ10">
    <cfRule type="expression" dxfId="69" priority="430">
      <formula>$U$10&lt;&gt;""</formula>
    </cfRule>
    <cfRule type="expression" dxfId="68" priority="431">
      <formula>$U$9&lt;&gt;""</formula>
    </cfRule>
  </conditionalFormatting>
  <conditionalFormatting sqref="U11:AJ11">
    <cfRule type="expression" dxfId="67" priority="429">
      <formula>$U$10&gt;0</formula>
    </cfRule>
    <cfRule type="expression" dxfId="66" priority="428">
      <formula>$U$11&lt;&gt;""</formula>
    </cfRule>
  </conditionalFormatting>
  <conditionalFormatting sqref="AL33:BA33">
    <cfRule type="expression" dxfId="65" priority="5">
      <formula>$AL$33&lt;&gt;""</formula>
    </cfRule>
  </conditionalFormatting>
  <conditionalFormatting sqref="AL34:BA34">
    <cfRule type="expression" dxfId="64" priority="7">
      <formula>$AL$34&lt;&gt;""</formula>
    </cfRule>
  </conditionalFormatting>
  <conditionalFormatting sqref="AN9">
    <cfRule type="expression" dxfId="63" priority="17">
      <formula>$U$19&gt;0</formula>
    </cfRule>
    <cfRule type="expression" dxfId="62" priority="16">
      <formula>AN9&gt;0</formula>
    </cfRule>
  </conditionalFormatting>
  <conditionalFormatting sqref="AN11">
    <cfRule type="expression" dxfId="61" priority="12">
      <formula>BF9=""</formula>
    </cfRule>
    <cfRule type="expression" dxfId="60" priority="13">
      <formula>AN11&gt;0</formula>
    </cfRule>
    <cfRule type="expression" dxfId="59" priority="14">
      <formula>$U$19&gt;0</formula>
    </cfRule>
  </conditionalFormatting>
  <conditionalFormatting sqref="AN13">
    <cfRule type="expression" dxfId="58" priority="38">
      <formula>BF11=""</formula>
    </cfRule>
    <cfRule type="expression" dxfId="57" priority="39">
      <formula>AN13&gt;0</formula>
    </cfRule>
    <cfRule type="expression" dxfId="56" priority="40">
      <formula>$U$19&gt;0</formula>
    </cfRule>
  </conditionalFormatting>
  <conditionalFormatting sqref="AN15">
    <cfRule type="expression" dxfId="55" priority="35">
      <formula>BF13=""</formula>
    </cfRule>
    <cfRule type="expression" dxfId="54" priority="36">
      <formula>AN15&gt;0</formula>
    </cfRule>
    <cfRule type="expression" dxfId="53" priority="37">
      <formula>$U$19&gt;0</formula>
    </cfRule>
  </conditionalFormatting>
  <conditionalFormatting sqref="AN17">
    <cfRule type="expression" dxfId="52" priority="193">
      <formula>$U$19&gt;0</formula>
    </cfRule>
    <cfRule type="expression" dxfId="51" priority="191">
      <formula>BF15=""</formula>
    </cfRule>
    <cfRule type="expression" dxfId="50" priority="192">
      <formula>AN17&gt;0</formula>
    </cfRule>
  </conditionalFormatting>
  <conditionalFormatting sqref="AN19">
    <cfRule type="expression" dxfId="49" priority="189">
      <formula>AN19&gt;0</formula>
    </cfRule>
    <cfRule type="expression" dxfId="48" priority="188">
      <formula>BF17=""</formula>
    </cfRule>
    <cfRule type="expression" dxfId="47" priority="190">
      <formula>$U$19&gt;0</formula>
    </cfRule>
  </conditionalFormatting>
  <conditionalFormatting sqref="AN21">
    <cfRule type="expression" dxfId="46" priority="185">
      <formula>BF19=""</formula>
    </cfRule>
    <cfRule type="expression" dxfId="45" priority="186">
      <formula>AN21&gt;0</formula>
    </cfRule>
    <cfRule type="expression" dxfId="44" priority="187">
      <formula>$U$19&gt;0</formula>
    </cfRule>
  </conditionalFormatting>
  <conditionalFormatting sqref="AN23">
    <cfRule type="expression" dxfId="43" priority="184">
      <formula>$U$19&gt;0</formula>
    </cfRule>
    <cfRule type="expression" dxfId="42" priority="182">
      <formula>BF21=""</formula>
    </cfRule>
    <cfRule type="expression" dxfId="41" priority="183">
      <formula>AN23&gt;0</formula>
    </cfRule>
  </conditionalFormatting>
  <conditionalFormatting sqref="AN25">
    <cfRule type="expression" dxfId="40" priority="179">
      <formula>BF23=""</formula>
    </cfRule>
    <cfRule type="expression" dxfId="39" priority="180">
      <formula>AN25&gt;0</formula>
    </cfRule>
    <cfRule type="expression" dxfId="38" priority="181">
      <formula>$U$19&gt;0</formula>
    </cfRule>
  </conditionalFormatting>
  <conditionalFormatting sqref="AN27">
    <cfRule type="expression" dxfId="37" priority="176">
      <formula>BF25=""</formula>
    </cfRule>
    <cfRule type="expression" dxfId="36" priority="177">
      <formula>AN27&gt;0</formula>
    </cfRule>
    <cfRule type="expression" dxfId="35" priority="178">
      <formula>$U$19&gt;0</formula>
    </cfRule>
  </conditionalFormatting>
  <conditionalFormatting sqref="AP9 AP15 AP17 AP19 AP21 AP23 AP25 AP27">
    <cfRule type="expression" dxfId="34" priority="30">
      <formula>AN9=0</formula>
    </cfRule>
    <cfRule type="expression" dxfId="33" priority="31">
      <formula>$U$15="NO"</formula>
    </cfRule>
    <cfRule type="expression" dxfId="32" priority="32">
      <formula>AP9&gt;0</formula>
    </cfRule>
    <cfRule type="expression" dxfId="31" priority="33">
      <formula>AN9&gt;0</formula>
    </cfRule>
    <cfRule type="expression" dxfId="30" priority="34">
      <formula>$U$15="SI"</formula>
    </cfRule>
  </conditionalFormatting>
  <conditionalFormatting sqref="AP11">
    <cfRule type="expression" dxfId="29" priority="401">
      <formula>AN11=0</formula>
    </cfRule>
    <cfRule type="expression" dxfId="28" priority="402">
      <formula>$U$15="NO"</formula>
    </cfRule>
    <cfRule type="expression" dxfId="27" priority="404">
      <formula>AN11&gt;0</formula>
    </cfRule>
    <cfRule type="expression" dxfId="26" priority="405">
      <formula>$U$15="SI"</formula>
    </cfRule>
    <cfRule type="expression" dxfId="25" priority="403">
      <formula>AP11&gt;0</formula>
    </cfRule>
  </conditionalFormatting>
  <conditionalFormatting sqref="AP13">
    <cfRule type="expression" dxfId="24" priority="67">
      <formula>$U$15="SI"</formula>
    </cfRule>
    <cfRule type="expression" dxfId="23" priority="65">
      <formula>AP13&gt;0</formula>
    </cfRule>
    <cfRule type="expression" dxfId="22" priority="64">
      <formula>$U$15="NO"</formula>
    </cfRule>
    <cfRule type="expression" dxfId="21" priority="63">
      <formula>AN13=0</formula>
    </cfRule>
    <cfRule type="expression" dxfId="20" priority="66">
      <formula>AN13&gt;0</formula>
    </cfRule>
  </conditionalFormatting>
  <conditionalFormatting sqref="AR9 AR11 AR13 AR15 AR17 AR19 AR21 AR23 AR25 AR27">
    <cfRule type="expression" dxfId="19" priority="29">
      <formula>$U$15="NO"</formula>
    </cfRule>
    <cfRule type="expression" dxfId="18" priority="25">
      <formula>AN9&gt;0</formula>
    </cfRule>
    <cfRule type="expression" dxfId="17" priority="24">
      <formula>$U$15="SI"</formula>
    </cfRule>
    <cfRule type="expression" dxfId="16" priority="23">
      <formula>AP9&gt;0</formula>
    </cfRule>
    <cfRule type="expression" dxfId="15" priority="22">
      <formula>AR9&gt;0</formula>
    </cfRule>
    <cfRule type="expression" dxfId="14" priority="28">
      <formula>AN9=""</formula>
    </cfRule>
  </conditionalFormatting>
  <conditionalFormatting sqref="AV9 AV11 AV13 AV15 AV17 AV19 AV21 AV23 AV25 AV27">
    <cfRule type="expression" dxfId="13" priority="21">
      <formula>AR9&gt;0</formula>
    </cfRule>
    <cfRule type="expression" dxfId="12" priority="20">
      <formula>AV9&gt;0</formula>
    </cfRule>
  </conditionalFormatting>
  <conditionalFormatting sqref="AZ9 AZ11">
    <cfRule type="expression" dxfId="11" priority="27">
      <formula>AV9&gt;0</formula>
    </cfRule>
    <cfRule type="expression" dxfId="10" priority="26">
      <formula>AZ9&gt;0</formula>
    </cfRule>
  </conditionalFormatting>
  <conditionalFormatting sqref="AZ13 AZ15">
    <cfRule type="expression" dxfId="9" priority="59">
      <formula>AZ13&gt;0</formula>
    </cfRule>
    <cfRule type="expression" dxfId="8" priority="60">
      <formula>AV13&gt;0</formula>
    </cfRule>
  </conditionalFormatting>
  <conditionalFormatting sqref="AZ17 AZ19 AZ21 AZ23 AZ25 AZ27">
    <cfRule type="expression" dxfId="7" priority="395">
      <formula>AZ17&gt;0</formula>
    </cfRule>
    <cfRule type="expression" dxfId="6" priority="396">
      <formula>AV17&gt;0</formula>
    </cfRule>
  </conditionalFormatting>
  <conditionalFormatting sqref="BB33">
    <cfRule type="expression" dxfId="5" priority="9">
      <formula>$AL$34&lt;&gt;""</formula>
    </cfRule>
    <cfRule type="expression" dxfId="4" priority="8">
      <formula>$BB$34&lt;&gt;""</formula>
    </cfRule>
  </conditionalFormatting>
  <conditionalFormatting sqref="BD9 BD11 BD13 BD15 BD17 BD19 BD21 BD23 BD25 BD27">
    <cfRule type="expression" dxfId="3" priority="381">
      <formula>$U$15="NO"</formula>
    </cfRule>
    <cfRule type="expression" dxfId="2" priority="393">
      <formula>BD9&gt;0</formula>
    </cfRule>
    <cfRule type="expression" dxfId="1" priority="394">
      <formula>AZ9&gt;0</formula>
    </cfRule>
  </conditionalFormatting>
  <conditionalFormatting sqref="BD34:BG34">
    <cfRule type="expression" dxfId="0" priority="6">
      <formula>$AL$34&lt;&gt;""</formula>
    </cfRule>
  </conditionalFormatting>
  <dataValidations count="6">
    <dataValidation type="list" allowBlank="1" showInputMessage="1" showErrorMessage="1" sqref="G10 U13" xr:uid="{A2F1A51B-DA96-471A-8042-6554C92601B2}">
      <formula1>MATERIALE</formula1>
    </dataValidation>
    <dataValidation type="list" allowBlank="1" showInputMessage="1" showErrorMessage="1" sqref="N10:N12" xr:uid="{0E7207E6-C64A-425F-A1F3-B35154A6A8B1}">
      <formula1>INDIRECT($G$10)</formula1>
    </dataValidation>
    <dataValidation type="list" allowBlank="1" showInputMessage="1" showErrorMessage="1" sqref="U14" xr:uid="{4A5F191B-0E39-4538-884D-550646F0BEE0}">
      <formula1>INDIRECT($U$13)</formula1>
    </dataValidation>
    <dataValidation type="list" allowBlank="1" showInputMessage="1" showErrorMessage="1" sqref="U15:Z15" xr:uid="{102105D1-5746-481D-869D-CCD730271069}">
      <formula1>DARE_GUIDE</formula1>
    </dataValidation>
    <dataValidation type="list" allowBlank="1" showInputMessage="1" showErrorMessage="1" sqref="U16:Z16" xr:uid="{DD6DFAAF-A81D-45FB-8136-4F21E03ABE36}">
      <formula1>INDIRECT($U$15)</formula1>
    </dataValidation>
    <dataValidation type="list" allowBlank="1" showInputMessage="1" showErrorMessage="1" sqref="AZ9:BC28" xr:uid="{3DE7FF9F-A94C-42BD-BD57-1F111A533417}">
      <formula1>INDIRECT(SUBSTITUTE($U$14," ","_"))</formula1>
    </dataValidation>
  </dataValidations>
  <printOptions horizontalCentered="1" verticalCentered="1"/>
  <pageMargins left="0" right="0" top="0" bottom="0" header="0.31496062992125984" footer="0.31496062992125984"/>
  <pageSetup paperSize="9" scale="8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88177EC2-6C84-4980-A174-90810EF3FE8F}">
          <x14:formula1>
            <xm:f>DATI!$B$18:$B$20</xm:f>
          </x14:formula1>
          <xm:sqref>G13</xm:sqref>
        </x14:dataValidation>
        <x14:dataValidation type="list" allowBlank="1" showInputMessage="1" showErrorMessage="1" xr:uid="{C6842667-C48C-4C74-BE03-1A887C4BDFB3}">
          <x14:formula1>
            <xm:f>DATI!$B$16:$B$17</xm:f>
          </x14:formula1>
          <xm:sqref>G14 G12</xm:sqref>
        </x14:dataValidation>
        <x14:dataValidation type="list" allowBlank="1" showInputMessage="1" showErrorMessage="1" xr:uid="{C31EB044-67E0-4CAC-95E6-2BD0D8C4B10D}">
          <x14:formula1>
            <xm:f>DATI!$B$9:$B$15</xm:f>
          </x14:formula1>
          <xm:sqref>G11</xm:sqref>
        </x14:dataValidation>
        <x14:dataValidation type="list" allowBlank="1" showInputMessage="1" showErrorMessage="1" xr:uid="{68CED5DD-A7FB-4DC7-B916-06D8003968E5}">
          <x14:formula1>
            <xm:f>DATI!$C$16:$C$18</xm:f>
          </x14:formula1>
          <xm:sqref>N14</xm:sqref>
        </x14:dataValidation>
        <x14:dataValidation type="list" allowBlank="1" showInputMessage="1" showErrorMessage="1" xr:uid="{34DC6996-A8AF-4740-9F27-59D9A5CEFC48}">
          <x14:formula1>
            <xm:f>DATI!$B$18:$B$21</xm:f>
          </x14:formula1>
          <xm:sqref>U17</xm:sqref>
        </x14:dataValidation>
        <x14:dataValidation type="list" allowBlank="1" showInputMessage="1" showErrorMessage="1" xr:uid="{4AAF22D6-71D3-470F-BD4D-C5BEED022DB4}">
          <x14:formula1>
            <xm:f>DATI!$C$17:$C$20</xm:f>
          </x14:formula1>
          <xm:sqref>U19:Z19</xm:sqref>
        </x14:dataValidation>
        <x14:dataValidation type="list" allowBlank="1" showInputMessage="1" showErrorMessage="1" xr:uid="{2944AE6D-17B4-4BD5-8376-6FF446DB2BA0}">
          <x14:formula1>
            <xm:f>DATI!$A$16:$A$17</xm:f>
          </x14:formula1>
          <xm:sqref>U18:Z18</xm:sqref>
        </x14:dataValidation>
        <x14:dataValidation type="list" allowBlank="1" showInputMessage="1" showErrorMessage="1" xr:uid="{7F5E5656-C50F-462D-995D-FAFA1C7B1ED0}">
          <x14:formula1>
            <xm:f>Foglio2!$C$76:$C$77</xm:f>
          </x14:formula1>
          <xm:sqref>BD9:BE10</xm:sqref>
        </x14:dataValidation>
        <x14:dataValidation type="list" allowBlank="1" showInputMessage="1" showErrorMessage="1" xr:uid="{13D7F34B-A86E-4C6A-8B7B-D1D82B91DE1C}">
          <x14:formula1>
            <xm:f>DATI!$A$11:$A$14</xm:f>
          </x14:formula1>
          <xm:sqref>U9:AJ9</xm:sqref>
        </x14:dataValidation>
        <x14:dataValidation type="list" allowBlank="1" showInputMessage="1" showErrorMessage="1" xr:uid="{6CD2A46F-6738-4EF2-9E4D-A1F42FBEDDDC}">
          <x14:formula1>
            <xm:f>Foglio2!$C$78:$C$79</xm:f>
          </x14:formula1>
          <xm:sqref>BD11:BE12</xm:sqref>
        </x14:dataValidation>
        <x14:dataValidation type="list" allowBlank="1" showInputMessage="1" showErrorMessage="1" xr:uid="{BF8205C5-BECA-43F9-A58C-24401C11C37C}">
          <x14:formula1>
            <xm:f>Foglio2!$C$80:$C$81</xm:f>
          </x14:formula1>
          <xm:sqref>BD13:BE14</xm:sqref>
        </x14:dataValidation>
        <x14:dataValidation type="list" allowBlank="1" showInputMessage="1" showErrorMessage="1" xr:uid="{FE8F0BD4-7460-4CA7-A3B1-D28C75BD97C2}">
          <x14:formula1>
            <xm:f>Foglio2!$C$82:$C$83</xm:f>
          </x14:formula1>
          <xm:sqref>BD15:BE16</xm:sqref>
        </x14:dataValidation>
        <x14:dataValidation type="list" allowBlank="1" showInputMessage="1" showErrorMessage="1" xr:uid="{1DBCE495-3603-49B1-A6CE-C93741D7F358}">
          <x14:formula1>
            <xm:f>Foglio2!$C$84:$C$85</xm:f>
          </x14:formula1>
          <xm:sqref>BD17:BE18</xm:sqref>
        </x14:dataValidation>
        <x14:dataValidation type="list" allowBlank="1" showInputMessage="1" showErrorMessage="1" xr:uid="{D7E89AA0-3087-4EBC-BB2F-DB7574CEB96A}">
          <x14:formula1>
            <xm:f>Foglio2!$C$86:$C$87</xm:f>
          </x14:formula1>
          <xm:sqref>BD19:BE20</xm:sqref>
        </x14:dataValidation>
        <x14:dataValidation type="list" allowBlank="1" showInputMessage="1" showErrorMessage="1" xr:uid="{E085FFD2-B604-47E1-9258-CB228D78EAA4}">
          <x14:formula1>
            <xm:f>Foglio2!$C$88:$C$89</xm:f>
          </x14:formula1>
          <xm:sqref>BD21:BE22</xm:sqref>
        </x14:dataValidation>
        <x14:dataValidation type="list" allowBlank="1" showInputMessage="1" showErrorMessage="1" xr:uid="{7C2E977A-E35B-4B88-A0FF-1EF104FE6B54}">
          <x14:formula1>
            <xm:f>Foglio2!$C$90:$C$91</xm:f>
          </x14:formula1>
          <xm:sqref>BD23:BE24</xm:sqref>
        </x14:dataValidation>
        <x14:dataValidation type="list" allowBlank="1" showInputMessage="1" showErrorMessage="1" xr:uid="{84417222-2D4B-4781-948C-AC18910458C4}">
          <x14:formula1>
            <xm:f>Foglio2!$C$92:$C$93</xm:f>
          </x14:formula1>
          <xm:sqref>BD25:BE26</xm:sqref>
        </x14:dataValidation>
        <x14:dataValidation type="list" allowBlank="1" showInputMessage="1" showErrorMessage="1" xr:uid="{BCA46409-90AB-4059-B5CC-01E3228FD87D}">
          <x14:formula1>
            <xm:f>Foglio2!$C$94:$C$95</xm:f>
          </x14:formula1>
          <xm:sqref>BD27:BE28</xm:sqref>
        </x14:dataValidation>
        <x14:dataValidation type="list" allowBlank="1" showInputMessage="1" showErrorMessage="1" xr:uid="{95DA1424-6ADF-4372-A61E-13C208282C31}">
          <x14:formula1>
            <xm:f>INDIRECT(SUBSTITUTE(Foglio2!$Q$27," ","_"))</xm:f>
          </x14:formula1>
          <xm:sqref>AP9:AQ28</xm:sqref>
        </x14:dataValidation>
        <x14:dataValidation type="list" allowBlank="1" showInputMessage="1" showErrorMessage="1" xr:uid="{CD89AFCC-C342-4BF9-8847-729AF4D6523C}">
          <x14:formula1>
            <xm:f>INDIRECT(SUBSTITUTE(Foglio2!$Q$24," ","_"))</xm:f>
          </x14:formula1>
          <xm:sqref>AR9:AU28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DEE3-1490-4D32-B654-AFBC603D3FD9}">
  <sheetPr codeName="Foglio2">
    <pageSetUpPr fitToPage="1"/>
  </sheetPr>
  <dimension ref="A1:CD101"/>
  <sheetViews>
    <sheetView showGridLines="0" showRowColHeaders="0" view="pageBreakPreview" topLeftCell="Q8" zoomScaleNormal="100" zoomScaleSheetLayoutView="100" workbookViewId="0">
      <selection activeCell="J57" sqref="A1:K57"/>
    </sheetView>
  </sheetViews>
  <sheetFormatPr defaultRowHeight="13.2"/>
  <cols>
    <col min="1" max="1" width="51" customWidth="1"/>
    <col min="2" max="11" width="5.6640625" customWidth="1"/>
    <col min="12" max="13" width="16.88671875" customWidth="1"/>
    <col min="14" max="14" width="17.88671875" customWidth="1"/>
    <col min="15" max="15" width="15.33203125" customWidth="1"/>
    <col min="16" max="16" width="16.5546875" customWidth="1"/>
    <col min="17" max="22" width="2.6640625" customWidth="1"/>
    <col min="23" max="23" width="15.44140625" customWidth="1"/>
    <col min="24" max="29" width="2.6640625" customWidth="1"/>
    <col min="30" max="30" width="1.5546875" customWidth="1"/>
    <col min="31" max="38" width="2.6640625" customWidth="1"/>
    <col min="39" max="39" width="3.109375" customWidth="1"/>
    <col min="40" max="59" width="2.6640625" customWidth="1"/>
    <col min="60" max="60" width="4" customWidth="1"/>
    <col min="61" max="61" width="2.6640625" customWidth="1"/>
    <col min="62" max="62" width="13.6640625" customWidth="1"/>
  </cols>
  <sheetData>
    <row r="1" spans="1:82" ht="18">
      <c r="A1" s="154" t="s">
        <v>119</v>
      </c>
      <c r="L1" s="14"/>
      <c r="M1" s="14"/>
      <c r="N1" s="14"/>
      <c r="O1" s="13"/>
      <c r="P1" s="52"/>
      <c r="Q1" s="52"/>
      <c r="R1" s="6"/>
      <c r="S1" s="6"/>
      <c r="T1" s="6"/>
      <c r="U1" s="13"/>
      <c r="V1" s="6"/>
      <c r="W1" s="6"/>
      <c r="X1" s="6"/>
      <c r="Y1" s="6"/>
      <c r="Z1" s="6"/>
      <c r="AA1" s="6"/>
      <c r="AB1" s="6"/>
      <c r="AC1" s="52"/>
      <c r="AD1" s="52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</row>
    <row r="2" spans="1:82" ht="15.6">
      <c r="A2" s="130"/>
      <c r="L2" s="6"/>
      <c r="M2" s="6"/>
      <c r="N2" s="7"/>
      <c r="O2" s="6"/>
      <c r="P2" s="52"/>
      <c r="Q2" s="52"/>
      <c r="R2" s="6"/>
      <c r="S2" s="6"/>
      <c r="T2" s="6"/>
      <c r="U2" s="13"/>
      <c r="V2" s="6"/>
      <c r="W2" s="6"/>
      <c r="X2" s="6"/>
      <c r="Y2" s="6"/>
      <c r="Z2" s="6"/>
      <c r="AA2" s="6"/>
      <c r="AB2" s="6"/>
      <c r="AC2" s="52"/>
      <c r="AD2" s="52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ht="21">
      <c r="A3" s="493" t="s">
        <v>120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6"/>
      <c r="M3" s="6"/>
      <c r="N3" s="7"/>
      <c r="O3" s="6"/>
      <c r="P3" s="52"/>
      <c r="Q3" s="52"/>
      <c r="R3" s="108"/>
      <c r="S3" s="108"/>
      <c r="T3" s="108"/>
      <c r="U3" s="13"/>
      <c r="V3" s="108"/>
      <c r="W3" s="108"/>
      <c r="X3" s="108"/>
      <c r="Y3" s="108"/>
      <c r="Z3" s="108"/>
      <c r="AA3" s="7"/>
      <c r="AB3" s="108"/>
      <c r="AC3" s="52"/>
      <c r="AD3" s="52"/>
      <c r="AE3" s="108"/>
      <c r="AF3" s="108"/>
      <c r="AG3" s="108"/>
      <c r="AH3" s="108"/>
      <c r="AI3" s="7"/>
      <c r="AJ3" s="108"/>
      <c r="AK3" s="108"/>
      <c r="AL3" s="108"/>
      <c r="AM3" s="108"/>
      <c r="AN3" s="7"/>
      <c r="AO3" s="108"/>
      <c r="AP3" s="108"/>
      <c r="AQ3" s="108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</row>
    <row r="4" spans="1:82" ht="15.6">
      <c r="A4" s="155"/>
      <c r="L4" s="6"/>
      <c r="M4" s="6"/>
      <c r="N4" s="7"/>
      <c r="O4" s="6"/>
      <c r="P4" s="52"/>
      <c r="Q4" s="52"/>
      <c r="R4" s="12"/>
      <c r="S4" s="108"/>
      <c r="T4" s="108"/>
      <c r="U4" s="13"/>
      <c r="V4" s="108"/>
      <c r="W4" s="108"/>
      <c r="X4" s="108"/>
      <c r="Y4" s="12"/>
      <c r="Z4" s="12"/>
      <c r="AA4" s="12"/>
      <c r="AB4" s="108"/>
      <c r="AC4" s="52"/>
      <c r="AD4" s="52"/>
      <c r="AE4" s="108"/>
      <c r="AF4" s="108"/>
      <c r="AG4" s="12"/>
      <c r="AH4" s="12"/>
      <c r="AI4" s="12"/>
      <c r="AJ4" s="108"/>
      <c r="AK4" s="108"/>
      <c r="AL4" s="108"/>
      <c r="AM4" s="108"/>
      <c r="AN4" s="12"/>
      <c r="AO4" s="12"/>
      <c r="AP4" s="12"/>
      <c r="AQ4" s="108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15.6">
      <c r="A5" s="155" t="s">
        <v>121</v>
      </c>
      <c r="B5" s="156">
        <v>60</v>
      </c>
      <c r="C5" s="156">
        <v>80</v>
      </c>
      <c r="D5" s="156">
        <v>100</v>
      </c>
      <c r="E5" s="156">
        <v>120</v>
      </c>
      <c r="F5" s="156">
        <v>140</v>
      </c>
      <c r="G5" s="156">
        <v>160</v>
      </c>
      <c r="H5" s="156">
        <v>180</v>
      </c>
      <c r="I5" s="156">
        <v>200</v>
      </c>
      <c r="J5" s="156">
        <v>250</v>
      </c>
      <c r="K5" s="156">
        <v>300</v>
      </c>
      <c r="L5" s="6"/>
      <c r="M5" s="6"/>
      <c r="N5" s="126"/>
      <c r="O5" s="6"/>
      <c r="P5" s="52"/>
      <c r="Q5" s="52"/>
      <c r="R5" s="12"/>
      <c r="S5" s="108"/>
      <c r="T5" s="108"/>
      <c r="U5" s="13"/>
      <c r="V5" s="7"/>
      <c r="W5" s="108"/>
      <c r="X5" s="108"/>
      <c r="Y5" s="12"/>
      <c r="Z5" s="12"/>
      <c r="AA5" s="12"/>
      <c r="AB5" s="108"/>
      <c r="AC5" s="52"/>
      <c r="AD5" s="52"/>
      <c r="AE5" s="108"/>
      <c r="AF5" s="108"/>
      <c r="AG5" s="12"/>
      <c r="AH5" s="12"/>
      <c r="AI5" s="12"/>
      <c r="AJ5" s="108"/>
      <c r="AK5" s="108"/>
      <c r="AL5" s="108"/>
      <c r="AM5" s="108"/>
      <c r="AN5" s="12"/>
      <c r="AO5" s="12"/>
      <c r="AP5" s="12"/>
      <c r="AQ5" s="108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ht="15.6">
      <c r="A6" s="157" t="s">
        <v>122</v>
      </c>
      <c r="B6" s="158"/>
      <c r="C6" s="158"/>
      <c r="D6" s="158"/>
      <c r="E6" s="158"/>
      <c r="F6" s="158"/>
      <c r="G6" s="158"/>
      <c r="H6" s="158"/>
      <c r="I6" s="158"/>
      <c r="J6" s="158"/>
      <c r="K6" s="159"/>
      <c r="L6" s="6"/>
      <c r="M6" s="6"/>
      <c r="N6" s="126"/>
      <c r="O6" s="6"/>
      <c r="P6" s="52"/>
      <c r="Q6" s="52"/>
      <c r="R6" s="108"/>
      <c r="S6" s="108"/>
      <c r="T6" s="108"/>
      <c r="U6" s="13"/>
      <c r="V6" s="108"/>
      <c r="W6" s="108"/>
      <c r="X6" s="108"/>
      <c r="Y6" s="108"/>
      <c r="Z6" s="108"/>
      <c r="AA6" s="108"/>
      <c r="AB6" s="108"/>
      <c r="AC6" s="52"/>
      <c r="AD6" s="52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12"/>
      <c r="BE6" s="12"/>
      <c r="BF6" s="12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ht="16.2" thickBo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2"/>
      <c r="L7" s="6"/>
      <c r="M7" s="6"/>
      <c r="N7" s="39"/>
      <c r="O7" s="6"/>
      <c r="P7" s="7"/>
      <c r="Q7" s="6"/>
      <c r="R7" s="6"/>
      <c r="S7" s="6"/>
      <c r="T7" s="6"/>
      <c r="U7" s="6"/>
      <c r="V7" s="6"/>
      <c r="W7" s="6"/>
      <c r="X7" s="13"/>
      <c r="Y7" s="7"/>
      <c r="Z7" s="108"/>
      <c r="AA7" s="108"/>
      <c r="AB7" s="108"/>
      <c r="AC7" s="14"/>
      <c r="AD7" s="7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12"/>
      <c r="BE7" s="12"/>
      <c r="BF7" s="12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</row>
    <row r="8" spans="1:82" ht="15.6">
      <c r="A8" s="163" t="s">
        <v>123</v>
      </c>
      <c r="B8" s="158"/>
      <c r="C8" s="158"/>
      <c r="D8" s="158"/>
      <c r="E8" s="158"/>
      <c r="F8" s="158"/>
      <c r="G8" s="158"/>
      <c r="H8" s="158"/>
      <c r="I8" s="158"/>
      <c r="J8" s="158"/>
      <c r="K8" s="159"/>
      <c r="L8" s="6"/>
      <c r="M8" s="6"/>
      <c r="N8" s="126"/>
      <c r="O8" s="109" t="s">
        <v>64</v>
      </c>
      <c r="P8" s="481">
        <f>MODULO!U10</f>
        <v>0</v>
      </c>
      <c r="Q8" s="482"/>
      <c r="R8" s="482"/>
      <c r="S8" s="482"/>
      <c r="T8" s="482"/>
      <c r="U8" s="482"/>
      <c r="V8" s="482"/>
      <c r="W8" s="483"/>
      <c r="X8" s="6"/>
      <c r="Y8" s="6"/>
      <c r="Z8" s="6"/>
      <c r="AA8" s="6"/>
      <c r="AB8" s="6"/>
      <c r="AC8" s="14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</row>
    <row r="9" spans="1:82" ht="18" customHeight="1">
      <c r="A9" s="164"/>
      <c r="B9" s="161"/>
      <c r="C9" s="161"/>
      <c r="D9" s="161"/>
      <c r="E9" s="161"/>
      <c r="F9" s="161"/>
      <c r="G9" s="161"/>
      <c r="H9" s="161"/>
      <c r="I9" s="161"/>
      <c r="J9" s="161"/>
      <c r="K9" s="162"/>
      <c r="L9" s="6"/>
      <c r="M9" s="6"/>
      <c r="N9" s="126"/>
      <c r="O9" s="110" t="s">
        <v>65</v>
      </c>
      <c r="P9" s="484">
        <f>MODULO!U9</f>
        <v>0</v>
      </c>
      <c r="Q9" s="485"/>
      <c r="R9" s="485"/>
      <c r="S9" s="485"/>
      <c r="T9" s="485"/>
      <c r="U9" s="485"/>
      <c r="V9" s="485"/>
      <c r="W9" s="486"/>
      <c r="X9" s="6"/>
      <c r="Y9" s="6"/>
      <c r="Z9" s="6"/>
      <c r="AA9" s="6"/>
      <c r="AB9" s="6"/>
      <c r="AC9" s="14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ht="12.9" customHeight="1" thickBot="1">
      <c r="A10" s="200" t="s">
        <v>107</v>
      </c>
      <c r="B10" s="169">
        <v>6.4</v>
      </c>
      <c r="C10" s="169">
        <v>7</v>
      </c>
      <c r="D10" s="169">
        <v>8.6</v>
      </c>
      <c r="E10" s="169">
        <v>10.1</v>
      </c>
      <c r="F10" s="169">
        <v>11.5</v>
      </c>
      <c r="G10" s="169">
        <v>12.8</v>
      </c>
      <c r="H10" s="169">
        <v>14.1</v>
      </c>
      <c r="I10" s="169">
        <v>15.3</v>
      </c>
      <c r="J10" s="169">
        <v>18.5</v>
      </c>
      <c r="K10" s="170">
        <v>21.3</v>
      </c>
      <c r="L10" s="6"/>
      <c r="M10" s="6"/>
      <c r="N10" s="39"/>
      <c r="O10" s="110" t="s">
        <v>66</v>
      </c>
      <c r="P10" s="475">
        <f>MODULO!U12</f>
        <v>0</v>
      </c>
      <c r="Q10" s="476"/>
      <c r="R10" s="476"/>
      <c r="S10" s="476"/>
      <c r="T10" s="476"/>
      <c r="U10" s="476"/>
      <c r="V10" s="476"/>
      <c r="W10" s="477"/>
      <c r="X10" s="6"/>
      <c r="Y10" s="6"/>
      <c r="Z10" s="6"/>
      <c r="AA10" s="6"/>
      <c r="AB10" s="6"/>
      <c r="AC10" s="14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ht="18" customHeight="1" thickBot="1">
      <c r="A11" s="168" t="s">
        <v>108</v>
      </c>
      <c r="B11" s="169">
        <v>6.4</v>
      </c>
      <c r="C11" s="169">
        <v>7</v>
      </c>
      <c r="D11" s="169">
        <v>8.6</v>
      </c>
      <c r="E11" s="169">
        <v>10.1</v>
      </c>
      <c r="F11" s="169">
        <v>11.5</v>
      </c>
      <c r="G11" s="169">
        <v>12.8</v>
      </c>
      <c r="H11" s="169">
        <v>14.1</v>
      </c>
      <c r="I11" s="169">
        <v>15.3</v>
      </c>
      <c r="J11" s="169">
        <v>18.5</v>
      </c>
      <c r="K11" s="170">
        <v>21.3</v>
      </c>
      <c r="L11" s="6"/>
      <c r="M11" s="6"/>
      <c r="N11" s="126"/>
      <c r="O11" s="111" t="s">
        <v>43</v>
      </c>
      <c r="P11" s="112">
        <f>MODULO!U13</f>
        <v>0</v>
      </c>
      <c r="Q11" s="478">
        <f>MODULO!U14</f>
        <v>0</v>
      </c>
      <c r="R11" s="479"/>
      <c r="S11" s="479"/>
      <c r="T11" s="479"/>
      <c r="U11" s="479"/>
      <c r="V11" s="479"/>
      <c r="W11" s="480"/>
      <c r="Y11" s="345" t="s">
        <v>12</v>
      </c>
      <c r="Z11" s="345"/>
      <c r="AA11" s="345"/>
      <c r="AB11" s="345"/>
      <c r="AC11" s="345"/>
      <c r="AD11" s="488">
        <f>P8</f>
        <v>0</v>
      </c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8"/>
      <c r="AP11" s="488"/>
      <c r="AQ11" s="488"/>
      <c r="AR11" s="488"/>
      <c r="AS11" s="488"/>
      <c r="AT11" s="488"/>
      <c r="AU11" s="488"/>
      <c r="AV11" s="488"/>
      <c r="AW11" s="345" t="s">
        <v>13</v>
      </c>
      <c r="AX11" s="345"/>
      <c r="AY11" s="345"/>
      <c r="AZ11" s="345"/>
      <c r="BA11" s="345"/>
      <c r="BB11" s="345"/>
      <c r="BC11" s="345"/>
      <c r="BD11" s="487" t="str">
        <f>IF(MODULO!U8&lt;&gt;"",MODULO!U8,"")</f>
        <v/>
      </c>
      <c r="BE11" s="487"/>
      <c r="BF11" s="487"/>
      <c r="BG11" s="487"/>
      <c r="BH11" s="487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ht="18" customHeight="1" thickBot="1">
      <c r="A12" s="201" t="s">
        <v>144</v>
      </c>
      <c r="B12" s="169">
        <v>6.7200000000000006</v>
      </c>
      <c r="C12" s="169">
        <v>7.3500000000000005</v>
      </c>
      <c r="D12" s="169">
        <v>9.0299999999999994</v>
      </c>
      <c r="E12" s="169">
        <v>10.605</v>
      </c>
      <c r="F12" s="169">
        <v>12.075000000000001</v>
      </c>
      <c r="G12" s="169">
        <v>13.440000000000001</v>
      </c>
      <c r="H12" s="169">
        <v>14.805</v>
      </c>
      <c r="I12" s="169">
        <v>16.065000000000001</v>
      </c>
      <c r="J12" s="169">
        <v>19.425000000000001</v>
      </c>
      <c r="K12" s="170">
        <v>22.365000000000002</v>
      </c>
      <c r="L12" s="6"/>
      <c r="M12" s="6"/>
      <c r="N12" s="39"/>
      <c r="O12" s="113" t="s">
        <v>55</v>
      </c>
      <c r="P12" s="489">
        <f>MODULO!U16</f>
        <v>0</v>
      </c>
      <c r="Q12" s="490"/>
      <c r="R12" s="490"/>
      <c r="S12" s="490"/>
      <c r="T12" s="490"/>
      <c r="U12" s="490"/>
      <c r="V12" s="491"/>
      <c r="W12" s="114"/>
      <c r="Y12" s="348" t="s">
        <v>89</v>
      </c>
      <c r="Z12" s="348"/>
      <c r="AA12" s="348"/>
      <c r="AB12" s="348"/>
      <c r="AC12" s="348"/>
      <c r="AD12" s="348"/>
      <c r="AE12" s="492">
        <f>MODULO!U11</f>
        <v>0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2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ht="18" customHeight="1" thickBot="1">
      <c r="A13" s="172" t="s">
        <v>110</v>
      </c>
      <c r="B13" s="158"/>
      <c r="C13" s="158">
        <v>8.4239999999999995</v>
      </c>
      <c r="D13" s="158">
        <v>10.260000000000002</v>
      </c>
      <c r="E13" s="158">
        <v>11.88</v>
      </c>
      <c r="F13" s="158">
        <v>13.392000000000001</v>
      </c>
      <c r="G13" s="158">
        <v>14.795999999999999</v>
      </c>
      <c r="H13" s="158">
        <v>16.092000000000002</v>
      </c>
      <c r="I13" s="158">
        <v>17.28</v>
      </c>
      <c r="J13" s="158">
        <v>20.520000000000003</v>
      </c>
      <c r="K13" s="159">
        <v>23.220000000000002</v>
      </c>
      <c r="L13" s="7"/>
      <c r="M13" s="16" t="s">
        <v>132</v>
      </c>
      <c r="N13" s="199" t="s">
        <v>131</v>
      </c>
      <c r="O13" s="115" t="s">
        <v>45</v>
      </c>
      <c r="P13" s="112" t="str">
        <f>IF($P$14="4 SENZA FORI","NO","SI")</f>
        <v>SI</v>
      </c>
      <c r="Q13" s="7"/>
      <c r="R13" s="7"/>
      <c r="S13" s="7"/>
      <c r="T13" s="7"/>
      <c r="U13" s="7"/>
      <c r="V13" s="7"/>
      <c r="W13" s="33"/>
      <c r="Y13" s="326">
        <f>MODULO!$U$9</f>
        <v>0</v>
      </c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47" t="s">
        <v>15</v>
      </c>
      <c r="AV13" s="347"/>
      <c r="AW13" s="347"/>
      <c r="AX13" s="488">
        <f>P10</f>
        <v>0</v>
      </c>
      <c r="AY13" s="488"/>
      <c r="AZ13" s="488"/>
      <c r="BA13" s="488"/>
      <c r="BB13" s="488"/>
      <c r="BC13" s="488"/>
      <c r="BD13" s="488"/>
      <c r="BE13" s="488"/>
      <c r="BF13" s="488"/>
      <c r="BG13" s="488"/>
      <c r="BH13" s="488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ht="12.9" customHeight="1" thickBot="1">
      <c r="A14" s="173"/>
      <c r="B14" s="166"/>
      <c r="C14" s="166"/>
      <c r="D14" s="166"/>
      <c r="E14" s="166"/>
      <c r="F14" s="166"/>
      <c r="G14" s="166"/>
      <c r="H14" s="166"/>
      <c r="I14" s="166"/>
      <c r="J14" s="166"/>
      <c r="K14" s="167"/>
      <c r="L14" s="528" t="s">
        <v>67</v>
      </c>
      <c r="M14" s="196"/>
      <c r="N14" s="126"/>
      <c r="O14" s="116" t="s">
        <v>44</v>
      </c>
      <c r="P14" s="117">
        <f>MODULO!U17</f>
        <v>0</v>
      </c>
      <c r="Q14" s="7"/>
      <c r="R14" s="7"/>
      <c r="S14" s="7"/>
      <c r="T14" s="7"/>
      <c r="U14" s="7"/>
      <c r="V14" s="7"/>
      <c r="W14" s="118" t="s">
        <v>68</v>
      </c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s="2" customFormat="1" ht="15" customHeight="1" thickBot="1">
      <c r="A15" s="174" t="s">
        <v>143</v>
      </c>
      <c r="B15" s="169"/>
      <c r="C15" s="169">
        <v>8.8559999999999999</v>
      </c>
      <c r="D15" s="169">
        <v>10.8</v>
      </c>
      <c r="E15" s="169">
        <v>12.635999999999999</v>
      </c>
      <c r="F15" s="169">
        <v>14.580000000000002</v>
      </c>
      <c r="G15" s="169">
        <v>16.200000000000003</v>
      </c>
      <c r="H15" s="169">
        <v>17.82</v>
      </c>
      <c r="I15" s="169">
        <v>19.440000000000001</v>
      </c>
      <c r="J15" s="169">
        <v>23.328000000000003</v>
      </c>
      <c r="K15" s="170">
        <v>27</v>
      </c>
      <c r="L15" s="529"/>
      <c r="M15" s="196"/>
      <c r="N15" s="39"/>
      <c r="O15" s="119" t="s">
        <v>57</v>
      </c>
      <c r="P15" s="112">
        <f>MODULO!U18</f>
        <v>0</v>
      </c>
      <c r="Q15" s="7"/>
      <c r="R15" s="7"/>
      <c r="S15" s="531" t="s">
        <v>2</v>
      </c>
      <c r="T15" s="531"/>
      <c r="U15" s="531"/>
      <c r="V15" s="532"/>
      <c r="W15" s="120">
        <f>MODULO!U19</f>
        <v>0</v>
      </c>
      <c r="X15" s="121"/>
      <c r="Y15" s="533"/>
      <c r="Z15" s="534"/>
      <c r="AA15" s="534"/>
      <c r="AB15" s="534"/>
      <c r="AC15" s="534"/>
      <c r="AD15" s="534"/>
      <c r="AE15" s="474" t="s">
        <v>3</v>
      </c>
      <c r="AF15" s="474"/>
      <c r="AG15" s="474" t="s">
        <v>4</v>
      </c>
      <c r="AH15" s="474"/>
      <c r="AI15" s="474"/>
      <c r="AJ15" s="474" t="s">
        <v>5</v>
      </c>
      <c r="AK15" s="474"/>
      <c r="AL15" s="474"/>
      <c r="AM15" s="474" t="s">
        <v>6</v>
      </c>
      <c r="AN15" s="474"/>
      <c r="AO15" s="474"/>
      <c r="AP15" s="474"/>
      <c r="AQ15" s="474"/>
      <c r="AR15" s="474"/>
      <c r="AS15" s="474"/>
      <c r="AT15" s="474" t="s">
        <v>7</v>
      </c>
      <c r="AU15" s="474"/>
      <c r="AV15" s="474"/>
      <c r="AW15" s="474"/>
      <c r="AX15" s="535" t="s">
        <v>8</v>
      </c>
      <c r="AY15" s="536"/>
      <c r="AZ15" s="537"/>
      <c r="BA15" s="474" t="s">
        <v>9</v>
      </c>
      <c r="BB15" s="474"/>
      <c r="BC15" s="474"/>
      <c r="BD15" s="474"/>
      <c r="BE15" s="474" t="s">
        <v>10</v>
      </c>
      <c r="BF15" s="474"/>
      <c r="BG15" s="474"/>
      <c r="BH15" s="474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</row>
    <row r="16" spans="1:82" s="1" customFormat="1" ht="18" customHeight="1">
      <c r="A16" s="173"/>
      <c r="B16" s="166"/>
      <c r="C16" s="166"/>
      <c r="D16" s="166"/>
      <c r="E16" s="166"/>
      <c r="F16" s="166"/>
      <c r="G16" s="166"/>
      <c r="H16" s="166"/>
      <c r="I16" s="166"/>
      <c r="J16" s="166"/>
      <c r="K16" s="167"/>
      <c r="L16" s="530"/>
      <c r="M16" s="196"/>
      <c r="N16" s="197"/>
      <c r="O16" s="29" t="s">
        <v>3</v>
      </c>
      <c r="P16" s="30" t="s">
        <v>28</v>
      </c>
      <c r="Q16" s="362" t="s">
        <v>20</v>
      </c>
      <c r="R16" s="363"/>
      <c r="S16" s="363"/>
      <c r="T16" s="363"/>
      <c r="U16" s="363"/>
      <c r="V16" s="364"/>
      <c r="W16" s="31" t="s">
        <v>29</v>
      </c>
      <c r="X16" s="306" t="s">
        <v>16</v>
      </c>
      <c r="Y16" s="455" t="s">
        <v>0</v>
      </c>
      <c r="Z16" s="456"/>
      <c r="AA16" s="456"/>
      <c r="AB16" s="457">
        <f>IF(AND(AG16=15),AM17+30,IF(AND(AG16=12),AM17+24,IF(AND(AG16=14),AM17+28,IF(AND(AG16=13),AM17+26,0))))</f>
        <v>0</v>
      </c>
      <c r="AC16" s="457"/>
      <c r="AD16" s="458"/>
      <c r="AE16" s="459">
        <f>AE18*2</f>
        <v>0</v>
      </c>
      <c r="AF16" s="460"/>
      <c r="AG16" s="461">
        <f>IF(AND(AT16="NOB"),DATI!$C$11,IF(AND(AT16="MULT"),DATI!$B$11,IF(AND(AT16="MASS"),DATI!$C$11,0)))</f>
        <v>0</v>
      </c>
      <c r="AH16" s="462"/>
      <c r="AI16" s="463"/>
      <c r="AJ16" s="464">
        <f>SUM(W17)</f>
        <v>0</v>
      </c>
      <c r="AK16" s="465"/>
      <c r="AL16" s="466"/>
      <c r="AM16" s="464" t="str">
        <f>IF(AND(BE16="HETTICH"),P17,IF(OR(BE16="BLUM                                                    DEL CLIENTE",BE16="BLUM",BE16="Hettich Actro"),P17-10,IF(AND(BE16="GRASS"),P17-10,IF(AND(BE16="SALICE"),P17-10,IF(AND(BE16="A ROTELLA"),P17," ")))))</f>
        <v xml:space="preserve"> </v>
      </c>
      <c r="AN16" s="465"/>
      <c r="AO16" s="465"/>
      <c r="AP16" s="465"/>
      <c r="AQ16" s="465"/>
      <c r="AR16" s="465"/>
      <c r="AS16" s="466"/>
      <c r="AT16" s="407" t="str">
        <f>IF(AND($P$11="MULTISTRATO",$O17&lt;&gt;0),"MULT",IF(AND($P$11="MASSELLO",$O17&lt;&gt;0),"MASS",IF(AND($P$11="NOBILITATO",$O17&lt;&gt;0),"NOB"," ")))</f>
        <v xml:space="preserve"> </v>
      </c>
      <c r="AU16" s="408"/>
      <c r="AV16" s="408"/>
      <c r="AW16" s="409"/>
      <c r="AX16" s="416" t="str">
        <f>IF(AND($P$14="3 CON FRONTALE",$O17&gt;0),"3",IF(AND($P$14="3 LATI",$O17&gt;0),"3",IF(AND($P$14="4 SENZA FORI",$O17&gt;0),"4",IF(AND($P$14="4 LATI CON FORI",$O17&gt;0),"4",""))))</f>
        <v/>
      </c>
      <c r="AY16" s="417"/>
      <c r="AZ16" s="418"/>
      <c r="BA16" s="425" t="str">
        <f>IF($O17=0," ",$Q$11)</f>
        <v xml:space="preserve"> </v>
      </c>
      <c r="BB16" s="426"/>
      <c r="BC16" s="426"/>
      <c r="BD16" s="427"/>
      <c r="BE16" s="434" t="str">
        <f>IF(AND(ISNUMBER(FIND("A ROTELLA",$P$12)),$O17&gt;0),"A ROTELLA",IF(AND(ISNUMBER(FIND("ACTRO",$P$12)),$O17&gt;0),"Hettich Actro",IF(AND(ISNUMBER(FIND("QUADRO",$P$12)),$O17&gt;0),"HETTICH",IF(AND($P$12&gt;0,$O17&gt;0),$P$12," "))))</f>
        <v xml:space="preserve"> </v>
      </c>
      <c r="BF16" s="435"/>
      <c r="BG16" s="435"/>
      <c r="BH16" s="436"/>
      <c r="BI16" s="12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 s="1" customFormat="1" ht="18" customHeight="1">
      <c r="A17" s="172" t="s">
        <v>111</v>
      </c>
      <c r="B17" s="158"/>
      <c r="C17" s="158">
        <v>8.1999999999999993</v>
      </c>
      <c r="D17" s="158">
        <v>10</v>
      </c>
      <c r="E17" s="158">
        <v>11.7</v>
      </c>
      <c r="F17" s="158">
        <v>13.5</v>
      </c>
      <c r="G17" s="158">
        <v>15</v>
      </c>
      <c r="H17" s="158">
        <v>16.5</v>
      </c>
      <c r="I17" s="158">
        <v>18</v>
      </c>
      <c r="J17" s="158">
        <v>21.6</v>
      </c>
      <c r="K17" s="159">
        <v>25</v>
      </c>
      <c r="L17" s="472" t="b">
        <f>IF(AND($P17=250),250,IF(AND($P17&gt;250,$P17&lt;301),300,IF(AND($P17&gt;=301,$P17&lt;351),350,IF(AND($P17&gt;=351,$P17&lt;401),400,IF(AND($P17&gt;=401,$P17&lt;451),450,IF(AND($P17&gt;=451,$P17&lt;501),500,IF(AND($P17&gt;=501,$P17&lt;551),550,IF(AND($P17&gt;=551,$P17&lt;601),600,IF(AND($P17&gt;=601,$P17&lt;651),650,IF(AND($P17&gt;=651,$P17&lt;701),700,IF(AND($P17&gt;=701,$P17&lt;751),750,IF(AND($P17&gt;=751,$P17&lt;801),800,IF(AND($P17&gt;=801,$P17&lt;901),900)))))))))))))</f>
        <v>0</v>
      </c>
      <c r="M17" s="540">
        <f>IF($W$15="NO",0,($L17*$Q17)/1000000*$Q$45)</f>
        <v>0</v>
      </c>
      <c r="N17" s="506" t="b">
        <f>IF($Q$11="SBIANCATO NO BORDO",INDEX($A$5:$K$23,MATCH($Q$11,$A$5:$A$23,0),MATCH(W17,$A$5:$K$5,0)),IF($Q$11="SBIANCATO BORDATO",INDEX($A$5:$K$23,MATCH($Q$11,$A$5:$A$23,0),MATCH(W17,$A$5:$K$5,0)),IF($Q$11="LAMINATO BIANCO",INDEX($A$5:$K$23,MATCH($Q$11,$A$5:$A$23,0),MATCH(W17,$A$5:$K$5,0)),IF($Q$11="ROVERE GREZZO",INDEX($A$5:$K$23,MATCH($Q$11,$A$5:$A$23,0),MATCH(W17,$A$5:$K$5,0)),IF($Q$11="ROVERE VERNICIATO",INDEX($A$5:$K$23,MATCH($Q$11,$A$5:$A$23,0),MATCH(W17,$A$5:$K$5,0)),IF($Q$11="FAGGIO LUCIDO",INDEX($A$5:$K$23,MATCH($Q$11,$A$5:$A$23,0),MATCH(W17,$A$5:$K$5,0)),IF($Q$11="FRASSINO SBIANCATO BORDATO",INDEX($A$5:$K$23,MATCH($Q$11,$A$5:$A$23,0),MATCH(W17,$A$5:$K$5,0)),IF($P$11="NOBILITATO",INDEX($A$5:$K$23,MATCH($P$11,$A$5:$A$23,0),MATCH(W17,$A$5:$K$5,0))))))))))</f>
        <v>0</v>
      </c>
      <c r="O17" s="442">
        <f>MODULO!$AN$9</f>
        <v>0</v>
      </c>
      <c r="P17" s="341">
        <f>MODULO!$AR$9</f>
        <v>0</v>
      </c>
      <c r="Q17" s="335">
        <f>MODULO!$AV$9</f>
        <v>0</v>
      </c>
      <c r="R17" s="336"/>
      <c r="S17" s="336"/>
      <c r="T17" s="336"/>
      <c r="U17" s="336"/>
      <c r="V17" s="337"/>
      <c r="W17" s="448">
        <f>MODULO!$AZ$9</f>
        <v>0</v>
      </c>
      <c r="X17" s="306"/>
      <c r="Y17" s="450" t="s">
        <v>1</v>
      </c>
      <c r="Z17" s="451"/>
      <c r="AA17" s="451"/>
      <c r="AB17" s="451"/>
      <c r="AC17" s="451"/>
      <c r="AD17" s="452"/>
      <c r="AE17" s="372">
        <f>IF(AX16="4",AE18*2,IF(AND(AX16="3"),AE18*1,0))</f>
        <v>0</v>
      </c>
      <c r="AF17" s="374"/>
      <c r="AG17" s="437">
        <f>SUM(AG16)</f>
        <v>0</v>
      </c>
      <c r="AH17" s="438"/>
      <c r="AI17" s="439"/>
      <c r="AJ17" s="369">
        <f>SUM(W17)</f>
        <v>0</v>
      </c>
      <c r="AK17" s="370"/>
      <c r="AL17" s="371"/>
      <c r="AM17" s="372" t="str">
        <f>IF(BE16="HETTICH",Q17-40,IF(BE16="BLUM                                                    DEL CLIENTE",Q17-42,IF(BE16="BLUM",Q17-42,IF(BE16="Hettich Actro",Q17-42,IF(BE16="SALICE",Q17-42,IF(BE16="GRASS",Q17-42,IF(AND(BE16="A ROTELLA",AG16=15),Q17-55,IF(AND(BE16="A ROTELLA",AG16=14),Q17-53," "))))))))</f>
        <v xml:space="preserve"> </v>
      </c>
      <c r="AN17" s="373"/>
      <c r="AO17" s="373"/>
      <c r="AP17" s="373"/>
      <c r="AQ17" s="373"/>
      <c r="AR17" s="373"/>
      <c r="AS17" s="374"/>
      <c r="AT17" s="410"/>
      <c r="AU17" s="411"/>
      <c r="AV17" s="411"/>
      <c r="AW17" s="412"/>
      <c r="AX17" s="419"/>
      <c r="AY17" s="420"/>
      <c r="AZ17" s="421"/>
      <c r="BA17" s="428"/>
      <c r="BB17" s="429"/>
      <c r="BC17" s="429"/>
      <c r="BD17" s="430"/>
      <c r="BE17" s="391" t="str">
        <f>IF(AND($P$12="A ROTELLA",$O17&gt;0),"DEL CLIENTE",IF(AND($P$12="A ROTELLA GRIGIA",$O17&gt;0),"VPA GRIGIA",IF(AND($P$12&gt;1,$O17&gt;0),"PRED. C/MAN"," ")))</f>
        <v xml:space="preserve"> </v>
      </c>
      <c r="BF17" s="392"/>
      <c r="BG17" s="392"/>
      <c r="BH17" s="393"/>
      <c r="BI17" s="26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 s="1" customFormat="1" ht="18" customHeight="1">
      <c r="A18" s="171"/>
      <c r="B18" s="166"/>
      <c r="C18" s="166"/>
      <c r="D18" s="166"/>
      <c r="E18" s="166"/>
      <c r="F18" s="166"/>
      <c r="G18" s="166"/>
      <c r="H18" s="166"/>
      <c r="I18" s="166"/>
      <c r="J18" s="166"/>
      <c r="K18" s="167"/>
      <c r="L18" s="473"/>
      <c r="M18" s="541"/>
      <c r="N18" s="507"/>
      <c r="O18" s="467"/>
      <c r="P18" s="342"/>
      <c r="Q18" s="338"/>
      <c r="R18" s="339"/>
      <c r="S18" s="339"/>
      <c r="T18" s="339"/>
      <c r="U18" s="339"/>
      <c r="V18" s="340"/>
      <c r="W18" s="468"/>
      <c r="X18" s="306"/>
      <c r="Y18" s="397" t="s">
        <v>2</v>
      </c>
      <c r="Z18" s="398"/>
      <c r="AA18" s="398"/>
      <c r="AB18" s="399"/>
      <c r="AC18" s="399"/>
      <c r="AD18" s="400"/>
      <c r="AE18" s="401">
        <f>SUM(O17)</f>
        <v>0</v>
      </c>
      <c r="AF18" s="402"/>
      <c r="AG18" s="403">
        <f>IF(AND(AT16="NOB"),DATI!$C$12,IF(AND(AT16="MULT",BA16="FAGGIO LUCIDO"),DATI!$B$13,IF(AND(AT16="MULT",BA16="FRASSINO SBIANCATO BORDATO"),DATI!$B$12,IF(AND(AT16="MULT",BA16="SBIANCATO NO BORDO"),DATI!$B$12,IF(AND(AT16="MULT",BA16="LAMINATO BIANCO"),DATI!$B$12,IF(AND(AT16="MULT",BA16="ROVERE LUCIDO"),DATI!$C$12,IF(AND(AT16="MULT",BA16="ROVERE GREZZO"),DATI!$C$12,IF(AND(AT16="MASS"),DATI!$B$13,0))))))))</f>
        <v>0</v>
      </c>
      <c r="AH18" s="404"/>
      <c r="AI18" s="405"/>
      <c r="AJ18" s="401"/>
      <c r="AK18" s="406"/>
      <c r="AL18" s="402"/>
      <c r="AM18" s="440" t="str">
        <f>IF(OR($P$14="3 CON FRONTALE",$P$14="3 LATI"),AM16,IF(AND($W$15="SFILABILE DIETRO",AG16=14),AM16-8,IF(AND($W$15="SFILABILE DIETRO",AG16=15),AM16-9,IF(AND($W$15="SFILABILE DAVANTI",AG16=14),AM16-8,IF(AND($W$15="SFILABILE DAVANTI",AG16=15),AM16-9,IF(AND(AX16=3),AM16,IF(AND(BA16="FAGGIO GREZZO",AT16="MASS"),AM16-AG16+6,IF(AND(BA16="ROVERE GREZZO",AT16="MULT"),AM16-AG16+6,IF(AND(AX16=3),AM16,IF(AND(AT16="MULT",AG16=15),AM16-17,IF(AND(AT16="NOB"),AM16-17," ")))))))))))</f>
        <v xml:space="preserve"> </v>
      </c>
      <c r="AN18" s="441"/>
      <c r="AO18" s="441"/>
      <c r="AP18" s="17" t="s">
        <v>11</v>
      </c>
      <c r="AQ18" s="441" t="str">
        <f>IF(AND(AT16="MULT",AG16=15),AM17+11,IF(AND(AT16="MULT",AG16=12),AM17+10,IF(AND(AT16="NOB",AG16=14),AM17+10,IF(AND(AT16="MASS",AG16=14),AM17+10," "))))</f>
        <v xml:space="preserve"> </v>
      </c>
      <c r="AR18" s="441"/>
      <c r="AS18" s="453"/>
      <c r="AT18" s="413"/>
      <c r="AU18" s="414"/>
      <c r="AV18" s="414"/>
      <c r="AW18" s="415"/>
      <c r="AX18" s="422"/>
      <c r="AY18" s="423"/>
      <c r="AZ18" s="424"/>
      <c r="BA18" s="431"/>
      <c r="BB18" s="432"/>
      <c r="BC18" s="432"/>
      <c r="BD18" s="433"/>
      <c r="BE18" s="394"/>
      <c r="BF18" s="395"/>
      <c r="BG18" s="395"/>
      <c r="BH18" s="396"/>
      <c r="BI18" s="26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 ht="15" customHeight="1" thickBot="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6"/>
      <c r="M19" s="6"/>
      <c r="N19" s="39"/>
      <c r="O19" s="32"/>
      <c r="P19" s="6"/>
      <c r="Q19" s="6"/>
      <c r="R19" s="6"/>
      <c r="S19" s="6"/>
      <c r="T19" s="6"/>
      <c r="U19" s="6"/>
      <c r="V19" s="6"/>
      <c r="W19" s="33"/>
      <c r="X19" s="48"/>
      <c r="Y19" s="385" t="str">
        <f>IF($AM19="FRONTALE A FILO SOPRA","FRONTALE","")</f>
        <v/>
      </c>
      <c r="Z19" s="386"/>
      <c r="AA19" s="386"/>
      <c r="AB19" s="381" t="str">
        <f>IF($AM19="FRONTALE A FILO SOPRA",$AB16,"")</f>
        <v/>
      </c>
      <c r="AC19" s="381"/>
      <c r="AD19" s="381"/>
      <c r="AE19" s="381" t="str">
        <f>IF($AM19="FRONTALE A FILO SOPRA",$AE18,"")</f>
        <v/>
      </c>
      <c r="AF19" s="381"/>
      <c r="AG19" s="381" t="str">
        <f>IF($AM19="FRONTALE A FILO SOPRA",$AG16,"")</f>
        <v/>
      </c>
      <c r="AH19" s="381"/>
      <c r="AI19" s="381"/>
      <c r="AJ19" s="381" t="str">
        <f>IF($AM19="FRONTALE A FILO SOPRA",$AJ16+20,"")</f>
        <v/>
      </c>
      <c r="AK19" s="381"/>
      <c r="AL19" s="381"/>
      <c r="AM19" s="387" t="str">
        <f>IF(AND($P$14="3 CON FRONTALE",$O17&gt;0),"FRONTALE A FILO SOPRA"," ")</f>
        <v xml:space="preserve"> </v>
      </c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1"/>
      <c r="BB19" s="381"/>
      <c r="BC19" s="381"/>
      <c r="BD19" s="381"/>
      <c r="BE19" s="381"/>
      <c r="BF19" s="381"/>
      <c r="BG19" s="381"/>
      <c r="BH19" s="382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</row>
    <row r="20" spans="1:82" s="1" customFormat="1" ht="18" customHeight="1">
      <c r="A20" s="175" t="s">
        <v>109</v>
      </c>
      <c r="B20" s="169">
        <v>6.6</v>
      </c>
      <c r="C20" s="169">
        <v>7.5</v>
      </c>
      <c r="D20" s="169">
        <v>9</v>
      </c>
      <c r="E20" s="169">
        <v>10.5</v>
      </c>
      <c r="F20" s="169">
        <v>12</v>
      </c>
      <c r="G20" s="169">
        <v>13.5</v>
      </c>
      <c r="H20" s="169">
        <v>14.8</v>
      </c>
      <c r="I20" s="169">
        <v>16</v>
      </c>
      <c r="J20" s="169">
        <v>19.2</v>
      </c>
      <c r="K20" s="170">
        <v>22.2</v>
      </c>
      <c r="L20" s="8"/>
      <c r="M20" s="8"/>
      <c r="N20" s="197"/>
      <c r="O20" s="29" t="s">
        <v>3</v>
      </c>
      <c r="P20" s="34" t="s">
        <v>28</v>
      </c>
      <c r="Q20" s="362" t="s">
        <v>20</v>
      </c>
      <c r="R20" s="363"/>
      <c r="S20" s="363"/>
      <c r="T20" s="363"/>
      <c r="U20" s="363"/>
      <c r="V20" s="364"/>
      <c r="W20" s="35" t="s">
        <v>29</v>
      </c>
      <c r="X20" s="454" t="s">
        <v>17</v>
      </c>
      <c r="Y20" s="455" t="s">
        <v>0</v>
      </c>
      <c r="Z20" s="456"/>
      <c r="AA20" s="456"/>
      <c r="AB20" s="457">
        <f>IF(AND(AG20=15),AM21+30,IF(AND(AG20=12),AM21+24,IF(AND(AG20=14),AM21+28,IF(AND(AG20=13),AM21+26,0))))</f>
        <v>0</v>
      </c>
      <c r="AC20" s="457"/>
      <c r="AD20" s="458"/>
      <c r="AE20" s="459">
        <f>AE22*2</f>
        <v>0</v>
      </c>
      <c r="AF20" s="460"/>
      <c r="AG20" s="461">
        <f>IF(AND(AT20="NOB"),DATI!$C$11,IF(AND(AT20="MULT"),DATI!$B$11,IF(AND(AT20="MASS"),DATI!$C$11,0)))</f>
        <v>0</v>
      </c>
      <c r="AH20" s="462"/>
      <c r="AI20" s="463"/>
      <c r="AJ20" s="464">
        <f>SUM(W21)</f>
        <v>0</v>
      </c>
      <c r="AK20" s="465"/>
      <c r="AL20" s="466"/>
      <c r="AM20" s="464" t="str">
        <f>IF(AND(BE20="HETTICH"),P21,IF(OR(BE20="BLUM                                                    DEL CLIENTE",BE20="BLUM",BE20="Hettich Actro"),P21-10,IF(AND(BE20="GRASS"),P21-10,IF(AND(BE20="SALICE"),P21-10,IF(AND(BE20="A ROTELLA"),P21," ")))))</f>
        <v xml:space="preserve"> </v>
      </c>
      <c r="AN20" s="465"/>
      <c r="AO20" s="465"/>
      <c r="AP20" s="465"/>
      <c r="AQ20" s="465"/>
      <c r="AR20" s="465"/>
      <c r="AS20" s="466"/>
      <c r="AT20" s="407" t="str">
        <f>IF(AND($P$11="MULTISTRATO",$O21&lt;&gt;0),"MULT",IF(AND($P$11="MASSELLO",$O21&lt;&gt;0),"MASS",IF(AND($P$11="NOBILITATO",$O21&lt;&gt;0),"NOB"," ")))</f>
        <v xml:space="preserve"> </v>
      </c>
      <c r="AU20" s="408"/>
      <c r="AV20" s="408"/>
      <c r="AW20" s="409"/>
      <c r="AX20" s="416" t="str">
        <f>IF(AND($P$14="3 CON FRONTALE",$O21&gt;0),"3",IF(AND($P$14="3 LATI",$O21&gt;0),"3",IF(AND($P$14="4 SENZA FORI",$O21&gt;0),"4",IF(AND($P$14="4 LATI CON FORI",$O21&gt;0),"4",""))))</f>
        <v/>
      </c>
      <c r="AY20" s="417"/>
      <c r="AZ20" s="418"/>
      <c r="BA20" s="425" t="str">
        <f>IF($O21=0," ",$Q$11)</f>
        <v xml:space="preserve"> </v>
      </c>
      <c r="BB20" s="426"/>
      <c r="BC20" s="426"/>
      <c r="BD20" s="427"/>
      <c r="BE20" s="469" t="str">
        <f>IF(AND(ISNUMBER(FIND("A ROTELLA",$P$12)),$O21&gt;0),"A ROTELLA",IF(AND(ISNUMBER(FIND("ACTRO",$P$12)),$O21&gt;0),"Hettich Actro",IF(AND(ISNUMBER(FIND("QUADRO",$P$12)),$O21&gt;0),"HETTICH",IF(AND($P$12&gt;0,$O21&gt;0),$P$12," "))))</f>
        <v xml:space="preserve"> </v>
      </c>
      <c r="BF20" s="470"/>
      <c r="BG20" s="470"/>
      <c r="BH20" s="471"/>
      <c r="BI20" s="12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s="1" customFormat="1" ht="18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472" t="b">
        <f>IF(AND($P21=250),250,IF(AND($P21&gt;250,$P21&lt;301),300,IF(AND($P21&gt;=301,$P21&lt;351),350,IF(AND($P21&gt;=351,$P21&lt;401),400,IF(AND($P21&gt;=401,$P21&lt;451),450,IF(AND($P21&gt;=451,$P21&lt;501),500,IF(AND($P21&gt;=501,$P21&lt;551),550,IF(AND($P21&gt;=551,$P21&lt;601),600,IF(AND($P21&gt;=601,$P21&lt;651),650,IF(AND($P21&gt;=651,$P21&lt;701),700,IF(AND($P21&gt;=701,$P21&lt;751),750,IF(AND($P21&gt;=751,$P21&lt;801),800,IF(AND($P21&gt;=801,$P21&lt;901),900)))))))))))))</f>
        <v>0</v>
      </c>
      <c r="M21" s="540">
        <f>IF($W$15="NO",0,($L21*$Q21)/1000000*$Q$45)</f>
        <v>0</v>
      </c>
      <c r="N21" s="506" t="b">
        <f>IF($Q$11="SBIANCATO NO BORDO",INDEX($A$5:$K$23,MATCH($Q$11,$A$5:$A$23,0),MATCH(W21,$A$5:$K$5,0)),IF($Q$11="SBIANCATO BORDATO",INDEX($A$5:$K$23,MATCH($Q$11,$A$5:$A$23,0),MATCH(W21,$A$5:$K$5,0)),IF($Q$11="LAMINATO BIANCO",INDEX($A$5:$K$23,MATCH($Q$11,$A$5:$A$23,0),MATCH(W21,$A$5:$K$5,0)),IF($Q$11="ROVERE GREZZO",INDEX($A$5:$K$23,MATCH($Q$11,$A$5:$A$23,0),MATCH(W21,$A$5:$K$5,0)),IF($Q$11="ROVERE VERNICIATO",INDEX($A$5:$K$23,MATCH($Q$11,$A$5:$A$23,0),MATCH(W21,$A$5:$K$5,0)),IF($Q$11="FAGGIO LUCIDO",INDEX($A$5:$K$23,MATCH($Q$11,$A$5:$A$23,0),MATCH(W21,$A$5:$K$5,0)),IF($Q$11="FRASSINO SBIANCATO BORDATO",INDEX($A$5:$K$23,MATCH($Q$11,$A$5:$A$23,0),MATCH(W21,$A$5:$K$5,0)),IF($P$11="NOBILITATO",INDEX($A$5:$K$23,MATCH($P$11,$A$5:$A$23,0),MATCH(W21,$A$5:$K$5,0))))))))))</f>
        <v>0</v>
      </c>
      <c r="O21" s="442">
        <f>MODULO!$AN$11</f>
        <v>0</v>
      </c>
      <c r="P21" s="341">
        <f>MODULO!$AR$11</f>
        <v>0</v>
      </c>
      <c r="Q21" s="335">
        <f>MODULO!$AV$11</f>
        <v>0</v>
      </c>
      <c r="R21" s="336"/>
      <c r="S21" s="336"/>
      <c r="T21" s="336"/>
      <c r="U21" s="336"/>
      <c r="V21" s="337"/>
      <c r="W21" s="448">
        <f>MODULO!$AZ$11</f>
        <v>0</v>
      </c>
      <c r="X21" s="454"/>
      <c r="Y21" s="450" t="s">
        <v>1</v>
      </c>
      <c r="Z21" s="451"/>
      <c r="AA21" s="451"/>
      <c r="AB21" s="451"/>
      <c r="AC21" s="451"/>
      <c r="AD21" s="452"/>
      <c r="AE21" s="372">
        <f>IF(AX20="4",AE22*2,IF(AND(AX20="3"),AE22*1,0))</f>
        <v>0</v>
      </c>
      <c r="AF21" s="374"/>
      <c r="AG21" s="437">
        <f>SUM(AG20)</f>
        <v>0</v>
      </c>
      <c r="AH21" s="438"/>
      <c r="AI21" s="439"/>
      <c r="AJ21" s="369">
        <f>SUM(W21)</f>
        <v>0</v>
      </c>
      <c r="AK21" s="370"/>
      <c r="AL21" s="371"/>
      <c r="AM21" s="372" t="str">
        <f>IF(BE20="HETTICH",Q21-40,IF(BE20="BLUM                                                    DEL CLIENTE",Q21-42,IF(BE20="BLUM",Q21-42,IF(BE20="Hettich Actro",Q21-42,IF(BE20="SALICE",Q21-42,IF(BE20="GRASS",Q21-42,IF(AND(BE20="A ROTELLA",AG20=15),Q21-55,IF(AND(BE20="A ROTELLA",AG20=14),Q21-53," "))))))))</f>
        <v xml:space="preserve"> </v>
      </c>
      <c r="AN21" s="373"/>
      <c r="AO21" s="373"/>
      <c r="AP21" s="373"/>
      <c r="AQ21" s="373"/>
      <c r="AR21" s="373"/>
      <c r="AS21" s="374"/>
      <c r="AT21" s="410"/>
      <c r="AU21" s="411"/>
      <c r="AV21" s="411"/>
      <c r="AW21" s="412"/>
      <c r="AX21" s="419"/>
      <c r="AY21" s="420"/>
      <c r="AZ21" s="421"/>
      <c r="BA21" s="428"/>
      <c r="BB21" s="429"/>
      <c r="BC21" s="429"/>
      <c r="BD21" s="430"/>
      <c r="BE21" s="391" t="str">
        <f>IF(AND($P$12="A ROTELLA",$O21&gt;0),"DEL CLIENTE",IF(AND($P$12="A ROTELLA GRIGIA",$O21&gt;0),"VPA GRIGIA",IF(AND($P$12&gt;1,$O21&gt;0),"PRED. C/MAN"," ")))</f>
        <v xml:space="preserve"> </v>
      </c>
      <c r="BF21" s="392"/>
      <c r="BG21" s="392"/>
      <c r="BH21" s="393"/>
      <c r="BI21" s="26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</row>
    <row r="22" spans="1:82" s="1" customFormat="1" ht="18" customHeight="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  <c r="L22" s="473"/>
      <c r="M22" s="541"/>
      <c r="N22" s="507"/>
      <c r="O22" s="467"/>
      <c r="P22" s="342"/>
      <c r="Q22" s="338"/>
      <c r="R22" s="339"/>
      <c r="S22" s="339"/>
      <c r="T22" s="339"/>
      <c r="U22" s="339"/>
      <c r="V22" s="340"/>
      <c r="W22" s="468"/>
      <c r="X22" s="454"/>
      <c r="Y22" s="397" t="s">
        <v>2</v>
      </c>
      <c r="Z22" s="398"/>
      <c r="AA22" s="398"/>
      <c r="AB22" s="399"/>
      <c r="AC22" s="399"/>
      <c r="AD22" s="400"/>
      <c r="AE22" s="401">
        <f>SUM(O21)</f>
        <v>0</v>
      </c>
      <c r="AF22" s="402"/>
      <c r="AG22" s="403">
        <f>IF(AND(AT20="NOB"),DATI!$C$12,IF(AND(AT20="MULT",BA20="FAGGIO LUCIDO"),DATI!$B$13,IF(AND(AT20="MULT",BA20="FRASSINO SBIANCATO BORDATO"),DATI!$B$12,IF(AND(AT20="MULT",BA20="SBIANCATO NO BORDO"),DATI!$B$12,IF(AND(AT20="MULT",BA20="LAMINATO BIANCO"),DATI!$B$12,IF(AND(AT20="MULT",BA20="ROVERE LUCIDO"),DATI!$C$12,IF(AND(AT20="MULT",BA20="ROVERE GREZZO"),DATI!$C$12,IF(AND(AT20="MASS"),DATI!$B$13,0))))))))</f>
        <v>0</v>
      </c>
      <c r="AH22" s="404"/>
      <c r="AI22" s="405"/>
      <c r="AJ22" s="401"/>
      <c r="AK22" s="406"/>
      <c r="AL22" s="402"/>
      <c r="AM22" s="440" t="str">
        <f>IF(OR($P$14="3 CON FRONTALE",$P$14="3 LATI"),AM20,IF(AND($W$15="SFILABILE DIETRO",AG20=14),AM20-8,IF(AND($W$15="SFILABILE DIETRO",AG20=15),AM20-9,IF(AND($W$15="SFILABILE DAVANTI",AG20=14),AM20-8,IF(AND($W$15="SFILABILE DAVANTI",AG20=15),AM20-9,IF(AND(AX20=3),AM20,IF(AND(BA20="FAGGIO GREZZO",AT20="MASS"),AM20-AG20+6,IF(AND(BA20="ROVERE GREZZO",AT20="MULT"),AM20-AG20+6,IF(AND(AX20=3),AM20,IF(AND(AT20="MULT",AG20=15),AM20-17,IF(AND(AT20="NOB"),AM20-17," ")))))))))))</f>
        <v xml:space="preserve"> </v>
      </c>
      <c r="AN22" s="441"/>
      <c r="AO22" s="441"/>
      <c r="AP22" s="17" t="s">
        <v>11</v>
      </c>
      <c r="AQ22" s="441" t="str">
        <f>IF(AND(AT20="MULT",AG20=15),AM21+11,IF(AND(AT20="MULT",AG20=12),AM21+10,IF(AND(AT20="NOB",AG20=14),AM21+10,IF(AND(AT20="MASS",AG20=14),AM21+10," "))))</f>
        <v xml:space="preserve"> </v>
      </c>
      <c r="AR22" s="441"/>
      <c r="AS22" s="453"/>
      <c r="AT22" s="413"/>
      <c r="AU22" s="414"/>
      <c r="AV22" s="414"/>
      <c r="AW22" s="415"/>
      <c r="AX22" s="422"/>
      <c r="AY22" s="423"/>
      <c r="AZ22" s="424"/>
      <c r="BA22" s="431"/>
      <c r="BB22" s="432"/>
      <c r="BC22" s="432"/>
      <c r="BD22" s="433"/>
      <c r="BE22" s="394"/>
      <c r="BF22" s="395"/>
      <c r="BG22" s="395"/>
      <c r="BH22" s="396"/>
      <c r="BI22" s="26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ht="15" customHeight="1" thickBot="1">
      <c r="A23" s="200" t="s">
        <v>50</v>
      </c>
      <c r="B23" s="158">
        <v>6.5100000000000007</v>
      </c>
      <c r="C23" s="158">
        <v>7.14</v>
      </c>
      <c r="D23" s="158">
        <v>7.4550000000000001</v>
      </c>
      <c r="E23" s="158">
        <v>7.7700000000000005</v>
      </c>
      <c r="F23" s="158">
        <v>8.61</v>
      </c>
      <c r="G23" s="158">
        <v>9.5549999999999997</v>
      </c>
      <c r="H23" s="158">
        <v>10.5</v>
      </c>
      <c r="I23" s="158">
        <v>11.55</v>
      </c>
      <c r="J23" s="158">
        <v>13.65</v>
      </c>
      <c r="K23" s="159">
        <v>15.75</v>
      </c>
      <c r="L23" s="6"/>
      <c r="M23" s="6"/>
      <c r="N23" s="198"/>
      <c r="O23" s="32"/>
      <c r="P23" s="6"/>
      <c r="Q23" s="6"/>
      <c r="R23" s="6"/>
      <c r="S23" s="6"/>
      <c r="T23" s="6"/>
      <c r="U23" s="6"/>
      <c r="V23" s="6"/>
      <c r="W23" s="33"/>
      <c r="X23" s="122"/>
      <c r="Y23" s="385" t="str">
        <f>IF($AM23="FRONTALE A FILO SOPRA","FRONTALE","")</f>
        <v/>
      </c>
      <c r="Z23" s="386"/>
      <c r="AA23" s="386"/>
      <c r="AB23" s="381" t="str">
        <f>IF($AM23="FRONTALE A FILO SOPRA",$AB20,"")</f>
        <v/>
      </c>
      <c r="AC23" s="381"/>
      <c r="AD23" s="381"/>
      <c r="AE23" s="381" t="str">
        <f>IF($AM23="FRONTALE A FILO SOPRA",$AE22,"")</f>
        <v/>
      </c>
      <c r="AF23" s="381"/>
      <c r="AG23" s="381" t="str">
        <f>IF($AM23="FRONTALE A FILO SOPRA",$AG20,"")</f>
        <v/>
      </c>
      <c r="AH23" s="381"/>
      <c r="AI23" s="381"/>
      <c r="AJ23" s="381" t="str">
        <f>IF($AM23="FRONTALE A FILO SOPRA",$AJ20+20,"")</f>
        <v/>
      </c>
      <c r="AK23" s="381"/>
      <c r="AL23" s="381"/>
      <c r="AM23" s="387" t="str">
        <f>IF(AND($P$14="3 CON FRONTALE",$O21&gt;0),"FRONTALE A FILO SOPRA"," ")</f>
        <v xml:space="preserve"> </v>
      </c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1"/>
      <c r="BB23" s="381"/>
      <c r="BC23" s="381"/>
      <c r="BD23" s="381"/>
      <c r="BE23" s="381"/>
      <c r="BF23" s="381"/>
      <c r="BG23" s="381"/>
      <c r="BH23" s="382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</row>
    <row r="24" spans="1:82" s="1" customFormat="1" ht="18" customHeight="1">
      <c r="A24" s="179" t="s">
        <v>124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2"/>
      <c r="L24" s="8"/>
      <c r="M24" s="8"/>
      <c r="N24" s="197"/>
      <c r="O24" s="29" t="s">
        <v>3</v>
      </c>
      <c r="P24" s="34" t="s">
        <v>28</v>
      </c>
      <c r="Q24" s="362" t="s">
        <v>20</v>
      </c>
      <c r="R24" s="363"/>
      <c r="S24" s="363"/>
      <c r="T24" s="363"/>
      <c r="U24" s="363"/>
      <c r="V24" s="364"/>
      <c r="W24" s="35" t="s">
        <v>29</v>
      </c>
      <c r="X24" s="454" t="s">
        <v>18</v>
      </c>
      <c r="Y24" s="455" t="s">
        <v>0</v>
      </c>
      <c r="Z24" s="456"/>
      <c r="AA24" s="456"/>
      <c r="AB24" s="457">
        <f>IF(AND(AG24=15),AM25+30,IF(AND(AG24=12),AM25+24,IF(AND(AG24=14),AM25+28,IF(AND(AG24=13),AM25+26,0))))</f>
        <v>0</v>
      </c>
      <c r="AC24" s="457"/>
      <c r="AD24" s="458"/>
      <c r="AE24" s="459">
        <f>AE26*2</f>
        <v>0</v>
      </c>
      <c r="AF24" s="460"/>
      <c r="AG24" s="461">
        <f>IF(AND(AT24="NOB"),DATI!$C$11,IF(AND(AT24="MULT"),DATI!$B$11,IF(AND(AT24="MASS"),DATI!$C$11,0)))</f>
        <v>0</v>
      </c>
      <c r="AH24" s="462"/>
      <c r="AI24" s="463"/>
      <c r="AJ24" s="464">
        <f>SUM(W25)</f>
        <v>0</v>
      </c>
      <c r="AK24" s="465"/>
      <c r="AL24" s="466"/>
      <c r="AM24" s="464" t="str">
        <f>IF(AND(BE24="HETTICH"),P25,IF(OR(BE24="BLUM                                                    DEL CLIENTE",BE24="BLUM",BE24="Hettich Actro"),P25-10,IF(AND(BE24="GRASS"),P25-10,IF(AND(BE24="SALICE"),P25-10,IF(AND(BE24="A ROTELLA"),P25," ")))))</f>
        <v xml:space="preserve"> </v>
      </c>
      <c r="AN24" s="465"/>
      <c r="AO24" s="465"/>
      <c r="AP24" s="465"/>
      <c r="AQ24" s="465"/>
      <c r="AR24" s="465"/>
      <c r="AS24" s="466"/>
      <c r="AT24" s="407" t="str">
        <f>IF(AND($P$11="MULTISTRATO",$O25&lt;&gt;0),"MULT",IF(AND($P$11="MASSELLO",$O25&lt;&gt;0),"MASS",IF(AND($P$11="NOBILITATO",$O25&lt;&gt;0),"NOB"," ")))</f>
        <v xml:space="preserve"> </v>
      </c>
      <c r="AU24" s="408"/>
      <c r="AV24" s="408"/>
      <c r="AW24" s="409"/>
      <c r="AX24" s="416" t="str">
        <f>IF(AND($P$14="3 CON FRONTALE",$O25&gt;0),"3",IF(AND($P$14="3 LATI",$O25&gt;0),"3",IF(AND($P$14="4 SENZA FORI",$O25&gt;0),"4",IF(AND($P$14="4 LATI CON FORI",$O25&gt;0),"4",""))))</f>
        <v/>
      </c>
      <c r="AY24" s="417"/>
      <c r="AZ24" s="418"/>
      <c r="BA24" s="425" t="str">
        <f>IF($O25=0," ",$Q$11)</f>
        <v xml:space="preserve"> </v>
      </c>
      <c r="BB24" s="426"/>
      <c r="BC24" s="426"/>
      <c r="BD24" s="427"/>
      <c r="BE24" s="434" t="str">
        <f>IF(AND(ISNUMBER(FIND("A ROTELLA",$P$12)),$O25&gt;0),"A ROTELLA",IF(AND(ISNUMBER(FIND("ACTRO",$P$12)),$O25&gt;0),"Hettich Actro",IF(AND(ISNUMBER(FIND("QUADRO",$P$12)),$O25&gt;0),"HETTICH",IF(AND($P$12&gt;0,$O25&gt;0),$P$12," "))))</f>
        <v xml:space="preserve"> </v>
      </c>
      <c r="BF24" s="435"/>
      <c r="BG24" s="435"/>
      <c r="BH24" s="436"/>
      <c r="BI24" s="12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</row>
    <row r="25" spans="1:82" s="1" customFormat="1" ht="18" customHeight="1">
      <c r="A25" s="180"/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472" t="b">
        <f>IF(AND($P25=250),250,IF(AND($P25&gt;250,$P25&lt;301),300,IF(AND($P25&gt;=301,$P25&lt;351),350,IF(AND($P25&gt;=351,$P25&lt;401),400,IF(AND($P25&gt;=401,$P25&lt;451),450,IF(AND($P25&gt;=451,$P25&lt;501),500,IF(AND($P25&gt;=501,$P25&lt;551),550,IF(AND($P25&gt;=551,$P25&lt;601),600,IF(AND($P25&gt;=601,$P25&lt;651),650,IF(AND($P25&gt;=651,$P25&lt;701),700,IF(AND($P25&gt;=701,$P25&lt;751),750,IF(AND($P25&gt;=751,$P25&lt;801),800,IF(AND($P25&gt;=801,$P25&lt;901),900)))))))))))))</f>
        <v>0</v>
      </c>
      <c r="M25" s="540">
        <f>IF($W$15="NO",0,($L25*$Q25)/1000000*$Q$45)</f>
        <v>0</v>
      </c>
      <c r="N25" s="506" t="b">
        <f>IF($Q$11="SBIANCATO NO BORDO",INDEX($A$5:$K$23,MATCH($Q$11,$A$5:$A$23,0),MATCH(W25,$A$5:$K$5,0)),IF($Q$11="SBIANCATO BORDATO",INDEX($A$5:$K$23,MATCH($Q$11,$A$5:$A$23,0),MATCH(W25,$A$5:$K$5,0)),IF($Q$11="LAMINATO BIANCO",INDEX($A$5:$K$23,MATCH($Q$11,$A$5:$A$23,0),MATCH(W25,$A$5:$K$5,0)),IF($Q$11="ROVERE GREZZO",INDEX($A$5:$K$23,MATCH($Q$11,$A$5:$A$23,0),MATCH(W25,$A$5:$K$5,0)),IF($Q$11="ROVERE VERNICIATO",INDEX($A$5:$K$23,MATCH($Q$11,$A$5:$A$23,0),MATCH(W25,$A$5:$K$5,0)),IF($Q$11="FAGGIO LUCIDO",INDEX($A$5:$K$23,MATCH($Q$11,$A$5:$A$23,0),MATCH(W25,$A$5:$K$5,0)),IF($Q$11="FRASSINO SBIANCATO BORDATO",INDEX($A$5:$K$23,MATCH($Q$11,$A$5:$A$23,0),MATCH(W25,$A$5:$K$5,0)),IF($P$11="NOBILITATO",INDEX($A$5:$K$23,MATCH($P$11,$A$5:$A$23,0),MATCH(W25,$A$5:$K$5,0))))))))))</f>
        <v>0</v>
      </c>
      <c r="O25" s="442">
        <f>MODULO!$AN$13</f>
        <v>0</v>
      </c>
      <c r="P25" s="341">
        <f>MODULO!$AR$13</f>
        <v>0</v>
      </c>
      <c r="Q25" s="335">
        <f>MODULO!$AV$13</f>
        <v>0</v>
      </c>
      <c r="R25" s="336"/>
      <c r="S25" s="336"/>
      <c r="T25" s="336"/>
      <c r="U25" s="336"/>
      <c r="V25" s="337"/>
      <c r="W25" s="448">
        <f>MODULO!$AZ$13</f>
        <v>0</v>
      </c>
      <c r="X25" s="454"/>
      <c r="Y25" s="450" t="s">
        <v>1</v>
      </c>
      <c r="Z25" s="451"/>
      <c r="AA25" s="451"/>
      <c r="AB25" s="451"/>
      <c r="AC25" s="451"/>
      <c r="AD25" s="452"/>
      <c r="AE25" s="372">
        <f>IF(AX24="4",AE26*2,IF(AND(AX24="3"),AE26*1,0))</f>
        <v>0</v>
      </c>
      <c r="AF25" s="374"/>
      <c r="AG25" s="437">
        <f>SUM(AG24)</f>
        <v>0</v>
      </c>
      <c r="AH25" s="438"/>
      <c r="AI25" s="439"/>
      <c r="AJ25" s="369">
        <f>SUM(W25)</f>
        <v>0</v>
      </c>
      <c r="AK25" s="370"/>
      <c r="AL25" s="371"/>
      <c r="AM25" s="372" t="str">
        <f>IF(BE24="HETTICH",Q25-40,IF(BE24="BLUM                                                    DEL CLIENTE",Q25-42,IF(BE24="BLUM",Q25-42,IF(BE24="Hettich Actro",Q25-42,IF(BE24="SALICE",Q25-42,IF(BE24="GRASS",Q25-42,IF(AND(BE24="A ROTELLA",AG24=15),Q25-55,IF(AND(BE24="A ROTELLA",AG24=14),Q25-53," "))))))))</f>
        <v xml:space="preserve"> </v>
      </c>
      <c r="AN25" s="373"/>
      <c r="AO25" s="373"/>
      <c r="AP25" s="373"/>
      <c r="AQ25" s="373"/>
      <c r="AR25" s="373"/>
      <c r="AS25" s="374"/>
      <c r="AT25" s="410"/>
      <c r="AU25" s="411"/>
      <c r="AV25" s="411"/>
      <c r="AW25" s="412"/>
      <c r="AX25" s="419"/>
      <c r="AY25" s="420"/>
      <c r="AZ25" s="421"/>
      <c r="BA25" s="428"/>
      <c r="BB25" s="429"/>
      <c r="BC25" s="429"/>
      <c r="BD25" s="430"/>
      <c r="BE25" s="391" t="str">
        <f>IF(AND($P$12="A ROTELLA",$O25&gt;0),"DEL CLIENTE",IF(AND($P$12="A ROTELLA GRIGIA",$O25&gt;0),"VPA GRIGIA",IF(AND($P$12&gt;1,$O25&gt;0),"PRED. C/MAN"," ")))</f>
        <v xml:space="preserve"> </v>
      </c>
      <c r="BF25" s="392"/>
      <c r="BG25" s="392"/>
      <c r="BH25" s="393"/>
      <c r="BI25" s="26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</row>
    <row r="26" spans="1:82" s="1" customFormat="1" ht="18" customHeight="1">
      <c r="A26" s="181"/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473"/>
      <c r="M26" s="541"/>
      <c r="N26" s="507"/>
      <c r="O26" s="467"/>
      <c r="P26" s="342"/>
      <c r="Q26" s="338"/>
      <c r="R26" s="339"/>
      <c r="S26" s="339"/>
      <c r="T26" s="339"/>
      <c r="U26" s="339"/>
      <c r="V26" s="340"/>
      <c r="W26" s="468"/>
      <c r="X26" s="454"/>
      <c r="Y26" s="397" t="s">
        <v>2</v>
      </c>
      <c r="Z26" s="398"/>
      <c r="AA26" s="398"/>
      <c r="AB26" s="399"/>
      <c r="AC26" s="399"/>
      <c r="AD26" s="400"/>
      <c r="AE26" s="401">
        <f>SUM(O25)</f>
        <v>0</v>
      </c>
      <c r="AF26" s="402"/>
      <c r="AG26" s="403">
        <f>IF(AND(AT24="NOB"),DATI!$C$12,IF(AND(AT24="MULT",BA24="FAGGIO LUCIDO"),DATI!$B$13,IF(AND(AT24="MULT",BA24="FRASSINO SBIANCATO BORDATO"),DATI!$B$12,IF(AND(AT24="MULT",BA24="SBIANCATO NO BORDO"),DATI!$B$12,IF(AND(AT24="MULT",BA24="LAMINATO BIANCO"),DATI!$B$12,IF(AND(AT24="MULT",BA24="ROVERE LUCIDO"),DATI!$C$12,IF(AND(AT24="MULT",BA24="ROVERE GREZZO"),DATI!$C$12,IF(AND(AT24="MASS"),DATI!$B$13,0))))))))</f>
        <v>0</v>
      </c>
      <c r="AH26" s="404"/>
      <c r="AI26" s="405"/>
      <c r="AJ26" s="401"/>
      <c r="AK26" s="406"/>
      <c r="AL26" s="402"/>
      <c r="AM26" s="440" t="str">
        <f>IF(OR($P$14="3 CON FRONTALE",$P$14="3 LATI"),AM24,IF(AND($W$15="SFILABILE DIETRO",AG24=14),AM24-8,IF(AND($W$15="SFILABILE DIETRO",AG24=15),AM24-9,IF(AND($W$15="SFILABILE DAVANTI",AG16=14),AM24-8,IF(AND($W$15="SFILABILE DAVANTI",AG24=15),AM24-9,IF(AND(AX24=3),AM24,IF(AND(BA24="FAGGIO GREZZO",AT24="MASS"),AM24-AG24+6,IF(AND(BA24="ROVERE GREZZO",AT24="MULT"),AM24-AG24+6,IF(AND(AX24=3),AM24,IF(AND(AT24="MULT",AG24=15),AM24-17,IF(AND(AT24="NOB"),AM24-17," ")))))))))))</f>
        <v xml:space="preserve"> </v>
      </c>
      <c r="AN26" s="441"/>
      <c r="AO26" s="441"/>
      <c r="AP26" s="17" t="s">
        <v>11</v>
      </c>
      <c r="AQ26" s="441" t="str">
        <f>IF(AND(AT24="MULT",AG24=15),AM25+11,IF(AND(AT24="MULT",AG24=12),AM25+10,IF(AND(AT24="NOB",AG24=14),AM25+10,IF(AND(AT24="MASS",AG24=14),AM25+10," "))))</f>
        <v xml:space="preserve"> </v>
      </c>
      <c r="AR26" s="441"/>
      <c r="AS26" s="453"/>
      <c r="AT26" s="413"/>
      <c r="AU26" s="414"/>
      <c r="AV26" s="414"/>
      <c r="AW26" s="415"/>
      <c r="AX26" s="422"/>
      <c r="AY26" s="423"/>
      <c r="AZ26" s="424"/>
      <c r="BA26" s="431"/>
      <c r="BB26" s="432"/>
      <c r="BC26" s="432"/>
      <c r="BD26" s="433"/>
      <c r="BE26" s="394"/>
      <c r="BF26" s="395"/>
      <c r="BG26" s="395"/>
      <c r="BH26" s="396"/>
      <c r="BI26" s="26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</row>
    <row r="27" spans="1:82" ht="15" customHeight="1" thickBot="1">
      <c r="A27" s="493" t="s">
        <v>128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6"/>
      <c r="M27" s="6"/>
      <c r="N27" s="198"/>
      <c r="O27" s="32"/>
      <c r="P27" s="6"/>
      <c r="Q27" s="6"/>
      <c r="R27" s="6"/>
      <c r="S27" s="6"/>
      <c r="T27" s="6"/>
      <c r="U27" s="6"/>
      <c r="V27" s="6"/>
      <c r="W27" s="33"/>
      <c r="X27" s="123"/>
      <c r="Y27" s="385" t="str">
        <f>IF($AM27="FRONTALE A FILO SOPRA","FRONTALE","")</f>
        <v/>
      </c>
      <c r="Z27" s="386"/>
      <c r="AA27" s="386"/>
      <c r="AB27" s="381" t="str">
        <f>IF($AM27="FRONTALE A FILO SOPRA",$AB24,"")</f>
        <v/>
      </c>
      <c r="AC27" s="381"/>
      <c r="AD27" s="381"/>
      <c r="AE27" s="381" t="str">
        <f>IF($AM27="FRONTALE A FILO SOPRA",$AE26,"")</f>
        <v/>
      </c>
      <c r="AF27" s="381"/>
      <c r="AG27" s="381" t="str">
        <f>IF($AM27="FRONTALE A FILO SOPRA",$AG24,"")</f>
        <v/>
      </c>
      <c r="AH27" s="381"/>
      <c r="AI27" s="381"/>
      <c r="AJ27" s="381" t="str">
        <f>IF($AM27="FRONTALE A FILO SOPRA",$AJ24+20,"")</f>
        <v/>
      </c>
      <c r="AK27" s="381"/>
      <c r="AL27" s="381"/>
      <c r="AM27" s="387" t="str">
        <f>IF(AND($P$14="3 CON FRONTALE",$O25&gt;0),"FRONTALE A FILO SOPRA"," ")</f>
        <v xml:space="preserve"> </v>
      </c>
      <c r="AN27" s="387"/>
      <c r="AO27" s="387"/>
      <c r="AP27" s="387"/>
      <c r="AQ27" s="387"/>
      <c r="AR27" s="387"/>
      <c r="AS27" s="387"/>
      <c r="AT27" s="387"/>
      <c r="AU27" s="387"/>
      <c r="AV27" s="387"/>
      <c r="AW27" s="387"/>
      <c r="AX27" s="387"/>
      <c r="AY27" s="387"/>
      <c r="AZ27" s="387"/>
      <c r="BA27" s="381"/>
      <c r="BB27" s="381"/>
      <c r="BC27" s="381"/>
      <c r="BD27" s="381"/>
      <c r="BE27" s="381"/>
      <c r="BF27" s="381"/>
      <c r="BG27" s="381"/>
      <c r="BH27" s="382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</row>
    <row r="28" spans="1:82" s="1" customFormat="1" ht="18" customHeight="1">
      <c r="A28" s="494" t="s">
        <v>145</v>
      </c>
      <c r="B28" s="495"/>
      <c r="C28" s="495"/>
      <c r="D28" s="495"/>
      <c r="E28" s="495"/>
      <c r="F28" s="495"/>
      <c r="G28"/>
      <c r="H28"/>
      <c r="I28" s="183" t="s">
        <v>125</v>
      </c>
      <c r="J28" s="496">
        <v>21</v>
      </c>
      <c r="K28" s="497"/>
      <c r="L28" s="8"/>
      <c r="M28" s="8"/>
      <c r="N28" s="39"/>
      <c r="O28" s="29" t="s">
        <v>3</v>
      </c>
      <c r="P28" s="34" t="s">
        <v>28</v>
      </c>
      <c r="Q28" s="362" t="s">
        <v>20</v>
      </c>
      <c r="R28" s="363"/>
      <c r="S28" s="363"/>
      <c r="T28" s="363"/>
      <c r="U28" s="363"/>
      <c r="V28" s="364"/>
      <c r="W28" s="35" t="s">
        <v>29</v>
      </c>
      <c r="X28" s="454" t="s">
        <v>19</v>
      </c>
      <c r="Y28" s="455" t="s">
        <v>0</v>
      </c>
      <c r="Z28" s="456"/>
      <c r="AA28" s="456"/>
      <c r="AB28" s="457">
        <f>IF(AND(AG28=15),AM29+30,IF(AND(AG28=12),AM29+24,IF(AND(AG28=14),AM29+28,IF(AND(AG28=13),AM29+26,0))))</f>
        <v>0</v>
      </c>
      <c r="AC28" s="457"/>
      <c r="AD28" s="458"/>
      <c r="AE28" s="459">
        <f>AE30*2</f>
        <v>0</v>
      </c>
      <c r="AF28" s="460"/>
      <c r="AG28" s="461">
        <f>IF(AND(AT28="NOB"),DATI!$C$11,IF(AND(AT28="MULT"),DATI!$B$11,IF(AND(AT28="MASS"),DATI!$C$11,0)))</f>
        <v>0</v>
      </c>
      <c r="AH28" s="462"/>
      <c r="AI28" s="463"/>
      <c r="AJ28" s="464">
        <f>SUM(W29)</f>
        <v>0</v>
      </c>
      <c r="AK28" s="465"/>
      <c r="AL28" s="466"/>
      <c r="AM28" s="464" t="str">
        <f>IF(AND(BE28="HETTICH"),P29,IF(OR(BE28="BLUM                                                    DEL CLIENTE",BE28="BLUM",BE28="Hettich Actro"),P29-10,IF(AND(BE28="GRASS"),P29-10,IF(AND(BE28="SALICE"),P29-10,IF(AND(BE28="A ROTELLA"),P29," ")))))</f>
        <v xml:space="preserve"> </v>
      </c>
      <c r="AN28" s="465"/>
      <c r="AO28" s="465"/>
      <c r="AP28" s="465"/>
      <c r="AQ28" s="465"/>
      <c r="AR28" s="465"/>
      <c r="AS28" s="466"/>
      <c r="AT28" s="407" t="str">
        <f>IF(AND($P$11="MULTISTRATO",$O29&lt;&gt;0),"MULT",IF(AND($P$11="MASSELLO",$O29&lt;&gt;0),"MASS",IF(AND($P$11="NOBILITATO",$O29&lt;&gt;0),"NOB"," ")))</f>
        <v xml:space="preserve"> </v>
      </c>
      <c r="AU28" s="408"/>
      <c r="AV28" s="408"/>
      <c r="AW28" s="409"/>
      <c r="AX28" s="416" t="str">
        <f>IF(AND($P$14="3 CON FRONTALE",$O29&gt;0),"3",IF(AND($P$14="3 LATI",$O29&gt;0),"3",IF(AND($P$14="4 SENZA FORI",$O29&gt;0),"4",IF(AND($P$14="4 LATI CON FORI",$O29&gt;0),"4",""))))</f>
        <v/>
      </c>
      <c r="AY28" s="417"/>
      <c r="AZ28" s="418"/>
      <c r="BA28" s="425" t="str">
        <f>IF($O29=0," ",$Q$11)</f>
        <v xml:space="preserve"> </v>
      </c>
      <c r="BB28" s="426"/>
      <c r="BC28" s="426"/>
      <c r="BD28" s="427"/>
      <c r="BE28" s="434" t="str">
        <f>IF(AND(ISNUMBER(FIND("A ROTELLA",$P$12)),$O29&gt;0),"A ROTELLA",IF(AND(ISNUMBER(FIND("ACTRO",$P$12)),$O29&gt;0),"Hettich Actro",IF(AND(ISNUMBER(FIND("QUADRO",$P$12)),$O29&gt;0),"HETTICH",IF(AND($P$12&gt;0,$O29&gt;0),$P$12," "))))</f>
        <v xml:space="preserve"> </v>
      </c>
      <c r="BF28" s="435"/>
      <c r="BG28" s="435"/>
      <c r="BH28" s="436"/>
      <c r="BI28" s="12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</row>
    <row r="29" spans="1:82" s="1" customFormat="1" ht="18" customHeight="1">
      <c r="A29" s="182"/>
      <c r="B29" s="133"/>
      <c r="C29" s="139"/>
      <c r="D29"/>
      <c r="E29"/>
      <c r="F29"/>
      <c r="G29"/>
      <c r="H29"/>
      <c r="I29" s="184"/>
      <c r="J29" s="139"/>
      <c r="K29"/>
      <c r="L29" s="472" t="b">
        <f>IF(AND($P29=250),250,IF(AND($P29&gt;250,$P29&lt;301),300,IF(AND($P29&gt;=301,$P29&lt;351),350,IF(AND($P29&gt;=351,$P29&lt;401),400,IF(AND($P29&gt;=401,$P29&lt;451),450,IF(AND($P29&gt;=451,$P29&lt;501),500,IF(AND($P29&gt;=501,$P29&lt;551),550,IF(AND($P29&gt;=551,$P29&lt;601),600,IF(AND($P29&gt;=601,$P29&lt;651),650,IF(AND($P29&gt;=651,$P29&lt;701),700,IF(AND($P29&gt;=701,$P29&lt;751),750,IF(AND($P29&gt;=751,$P29&lt;801),800,IF(AND($P29&gt;=801,$P29&lt;901),900)))))))))))))</f>
        <v>0</v>
      </c>
      <c r="M29" s="540">
        <f>IF($W$15="NO",0,($L29*$Q29)/1000000*$Q$45)</f>
        <v>0</v>
      </c>
      <c r="N29" s="506" t="b">
        <f>IF($Q$11="SBIANCATO NO BORDO",INDEX($A$5:$K$23,MATCH($Q$11,$A$5:$A$23,0),MATCH(W29,$A$5:$K$5,0)),IF($Q$11="SBIANCATO BORDATO",INDEX($A$5:$K$23,MATCH($Q$11,$A$5:$A$23,0),MATCH(W29,$A$5:$K$5,0)),IF($Q$11="LAMINATO BIANCO",INDEX($A$5:$K$23,MATCH($Q$11,$A$5:$A$23,0),MATCH(W29,$A$5:$K$5,0)),IF($Q$11="ROVERE GREZZO",INDEX($A$5:$K$23,MATCH($Q$11,$A$5:$A$23,0),MATCH(W29,$A$5:$K$5,0)),IF($Q$11="ROVERE VERNICIATO",INDEX($A$5:$K$23,MATCH($Q$11,$A$5:$A$23,0),MATCH(W29,$A$5:$K$5,0)),IF($Q$11="FAGGIO LUCIDO",INDEX($A$5:$K$23,MATCH($Q$11,$A$5:$A$23,0),MATCH(W29,$A$5:$K$5,0)),IF($Q$11="FRASSINO SBIANCATO BORDATO",INDEX($A$5:$K$23,MATCH($Q$11,$A$5:$A$23,0),MATCH(W29,$A$5:$K$5,0)),IF($P$11="NOBILITATO",INDEX($A$5:$K$23,MATCH($P$11,$A$5:$A$23,0),MATCH(W29,$A$5:$K$5,0))))))))))</f>
        <v>0</v>
      </c>
      <c r="O29" s="442">
        <f>MODULO!$AN$15</f>
        <v>0</v>
      </c>
      <c r="P29" s="341">
        <f>MODULO!$AR$15</f>
        <v>0</v>
      </c>
      <c r="Q29" s="335">
        <f>MODULO!$AV$15</f>
        <v>0</v>
      </c>
      <c r="R29" s="336"/>
      <c r="S29" s="336"/>
      <c r="T29" s="336"/>
      <c r="U29" s="336"/>
      <c r="V29" s="337"/>
      <c r="W29" s="448">
        <f>MODULO!$AZ$15</f>
        <v>0</v>
      </c>
      <c r="X29" s="454"/>
      <c r="Y29" s="450" t="s">
        <v>1</v>
      </c>
      <c r="Z29" s="451"/>
      <c r="AA29" s="451"/>
      <c r="AB29" s="451"/>
      <c r="AC29" s="451"/>
      <c r="AD29" s="452"/>
      <c r="AE29" s="372">
        <f>IF(AX28="4",AE30*2,IF(AND(AX28="3"),AE30*1,0))</f>
        <v>0</v>
      </c>
      <c r="AF29" s="374"/>
      <c r="AG29" s="437">
        <f>SUM(AG28)</f>
        <v>0</v>
      </c>
      <c r="AH29" s="438"/>
      <c r="AI29" s="439"/>
      <c r="AJ29" s="369">
        <f>SUM(W29)</f>
        <v>0</v>
      </c>
      <c r="AK29" s="370"/>
      <c r="AL29" s="371"/>
      <c r="AM29" s="372" t="str">
        <f>IF(BE28="HETTICH",Q29-40,IF(BE28="BLUM                                                    DEL CLIENTE",Q29-42,IF(BE28="BLUM",Q29-42,IF(BE28="Hettich Actro",Q29-42,IF(BE28="SALICE",Q29-42,IF(BE28="GRASS",Q29-42,IF(AND(BE28="A ROTELLA",AG28=15),Q29-55,IF(AND(BE28="A ROTELLA",AG28=14),Q29-53," "))))))))</f>
        <v xml:space="preserve"> </v>
      </c>
      <c r="AN29" s="373"/>
      <c r="AO29" s="373"/>
      <c r="AP29" s="373"/>
      <c r="AQ29" s="373"/>
      <c r="AR29" s="373"/>
      <c r="AS29" s="374"/>
      <c r="AT29" s="410"/>
      <c r="AU29" s="411"/>
      <c r="AV29" s="411"/>
      <c r="AW29" s="412"/>
      <c r="AX29" s="419"/>
      <c r="AY29" s="420"/>
      <c r="AZ29" s="421"/>
      <c r="BA29" s="428"/>
      <c r="BB29" s="429"/>
      <c r="BC29" s="429"/>
      <c r="BD29" s="430"/>
      <c r="BE29" s="391" t="str">
        <f>IF(AND($P$12="A ROTELLA",$O29&gt;0),"DEL CLIENTE",IF(AND($P$12="A ROTELLA GRIGIA",$O29&gt;0),"VPA GRIGIA",IF(AND($P$12&gt;1,$O29&gt;0),"PRED. C/MAN"," ")))</f>
        <v xml:space="preserve"> </v>
      </c>
      <c r="BF29" s="392"/>
      <c r="BG29" s="392"/>
      <c r="BH29" s="393"/>
      <c r="BI29" s="26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</row>
    <row r="30" spans="1:82" s="1" customFormat="1" ht="18" customHeight="1" thickBot="1">
      <c r="A30" s="498" t="s">
        <v>112</v>
      </c>
      <c r="B30" s="499"/>
      <c r="C30" s="499"/>
      <c r="D30" s="499"/>
      <c r="E30" s="499"/>
      <c r="F30" s="499"/>
      <c r="G30"/>
      <c r="H30"/>
      <c r="I30" s="183" t="s">
        <v>40</v>
      </c>
      <c r="J30" s="496">
        <v>41</v>
      </c>
      <c r="K30" s="497"/>
      <c r="L30" s="473"/>
      <c r="M30" s="541"/>
      <c r="N30" s="507"/>
      <c r="O30" s="443"/>
      <c r="P30" s="444"/>
      <c r="Q30" s="445"/>
      <c r="R30" s="446"/>
      <c r="S30" s="446"/>
      <c r="T30" s="446"/>
      <c r="U30" s="446"/>
      <c r="V30" s="447"/>
      <c r="W30" s="449"/>
      <c r="X30" s="454"/>
      <c r="Y30" s="397" t="s">
        <v>2</v>
      </c>
      <c r="Z30" s="398"/>
      <c r="AA30" s="398"/>
      <c r="AB30" s="399"/>
      <c r="AC30" s="399"/>
      <c r="AD30" s="400"/>
      <c r="AE30" s="401">
        <f>SUM(O29)</f>
        <v>0</v>
      </c>
      <c r="AF30" s="402"/>
      <c r="AG30" s="403">
        <f>IF(AND(AT28="NOB"),DATI!$C$12,IF(AND(AT28="MULT",BA28="FAGGIO LUCIDO"),DATI!$B$13,IF(AND(AT28="MULT",BA28="FRASSINO SBIANCATO BORDATO"),DATI!$B$12,IF(AND(AT28="MULT",BA28="SBIANCATO NO BORDO"),DATI!$B$12,IF(AND(AT28="MULT",BA28="LAMINATO BIANCO"),DATI!$B$12,IF(AND(AT28="MULT",BA28="ROVERE LUCIDO"),DATI!$C$12,IF(AND(AT28="MULT",BA28="ROVERE GREZZO"),DATI!$C$12,IF(AND(AT28="MASS"),DATI!$B$13,0))))))))</f>
        <v>0</v>
      </c>
      <c r="AH30" s="404"/>
      <c r="AI30" s="405"/>
      <c r="AJ30" s="401"/>
      <c r="AK30" s="406"/>
      <c r="AL30" s="402"/>
      <c r="AM30" s="440" t="str">
        <f>IF(OR($P$14="3 CON FRONTALE",$P$14="3 LATI"),AM28,IF(AND($W$15="SFILABILE DIETRO",AG28=14),AM28-8,IF(AND($W$15="SFILABILE DIETRO",AG28=15),AM28-9,IF(AND($W$15="SFILABILE DAVANTI",AG28=14),AM28-8,IF(AND($W$15="SFILABILE DAVANTI",AG28=15),AM28-9,IF(AND(AX28=3),AM28,IF(AND(BA28="FAGGIO GREZZO",AT28="MASS"),AM28-AG28+6,IF(AND(BA28="ROVERE GREZZO",AT28="MULT"),AM28-AG28+6,IF(AND(AX28=3),AM28,IF(AND(AT28="MULT",AG28=15),AM28-17,IF(AND(AT28="NOB"),AM28-17," ")))))))))))</f>
        <v xml:space="preserve"> </v>
      </c>
      <c r="AN30" s="441"/>
      <c r="AO30" s="441"/>
      <c r="AP30" s="17" t="s">
        <v>11</v>
      </c>
      <c r="AQ30" s="441" t="str">
        <f>IF(AND(AT28="MULT",AG28=15),AM29+11,IF(AND(AT28="MULT",AG28=12),AM29+10,IF(AND(AT28="NOB",AG28=14),AM29+10,IF(AND(AT28="MASS",AG28=14),AM29+10," "))))</f>
        <v xml:space="preserve"> </v>
      </c>
      <c r="AR30" s="441"/>
      <c r="AS30" s="453"/>
      <c r="AT30" s="413"/>
      <c r="AU30" s="414"/>
      <c r="AV30" s="414"/>
      <c r="AW30" s="415"/>
      <c r="AX30" s="422"/>
      <c r="AY30" s="423"/>
      <c r="AZ30" s="424"/>
      <c r="BA30" s="431"/>
      <c r="BB30" s="432"/>
      <c r="BC30" s="432"/>
      <c r="BD30" s="433"/>
      <c r="BE30" s="394"/>
      <c r="BF30" s="395"/>
      <c r="BG30" s="395"/>
      <c r="BH30" s="396"/>
      <c r="BI30" s="26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</row>
    <row r="31" spans="1:82" s="1" customFormat="1" ht="15" customHeight="1" thickBot="1">
      <c r="A31" s="182"/>
      <c r="B31" s="133"/>
      <c r="C31" s="139"/>
      <c r="D31"/>
      <c r="E31"/>
      <c r="F31"/>
      <c r="G31"/>
      <c r="H31"/>
      <c r="I31" s="184"/>
      <c r="J31" s="139"/>
      <c r="K31"/>
      <c r="L31" s="8"/>
      <c r="M31" s="8"/>
      <c r="N31" s="39"/>
      <c r="O31" s="8"/>
      <c r="P31" s="8"/>
      <c r="Q31" s="124"/>
      <c r="R31" s="124"/>
      <c r="S31" s="124"/>
      <c r="T31" s="124"/>
      <c r="U31" s="124"/>
      <c r="V31" s="124"/>
      <c r="W31" s="8"/>
      <c r="X31" s="4"/>
      <c r="Y31" s="385" t="str">
        <f>IF($AM31="FRONTALE A FILO SOPRA","FRONTALE","")</f>
        <v/>
      </c>
      <c r="Z31" s="386"/>
      <c r="AA31" s="386"/>
      <c r="AB31" s="381" t="str">
        <f>IF($AM31="FRONTALE A FILO SOPRA",$AB28,"")</f>
        <v/>
      </c>
      <c r="AC31" s="381"/>
      <c r="AD31" s="381"/>
      <c r="AE31" s="381" t="str">
        <f>IF($AM31="FRONTALE A FILO SOPRA",$AE30,"")</f>
        <v/>
      </c>
      <c r="AF31" s="381"/>
      <c r="AG31" s="381" t="str">
        <f>IF($AM31="FRONTALE A FILO SOPRA",$AG28,"")</f>
        <v/>
      </c>
      <c r="AH31" s="381"/>
      <c r="AI31" s="381"/>
      <c r="AJ31" s="381" t="str">
        <f>IF($AM31="FRONTALE A FILO SOPRA",$AJ28+20,"")</f>
        <v/>
      </c>
      <c r="AK31" s="381"/>
      <c r="AL31" s="381"/>
      <c r="AM31" s="387" t="str">
        <f>IF(AND($P$14="3 CON FRONTALE",$O29&gt;0),"FRONTALE A FILO SOPRA"," ")</f>
        <v xml:space="preserve"> </v>
      </c>
      <c r="AN31" s="387"/>
      <c r="AO31" s="387"/>
      <c r="AP31" s="387"/>
      <c r="AQ31" s="387"/>
      <c r="AR31" s="387"/>
      <c r="AS31" s="387"/>
      <c r="AT31" s="387"/>
      <c r="AU31" s="387"/>
      <c r="AV31" s="387"/>
      <c r="AW31" s="387"/>
      <c r="AX31" s="387"/>
      <c r="AY31" s="387"/>
      <c r="AZ31" s="387"/>
      <c r="BA31" s="381"/>
      <c r="BB31" s="381"/>
      <c r="BC31" s="381"/>
      <c r="BD31" s="381"/>
      <c r="BE31" s="381"/>
      <c r="BF31" s="381"/>
      <c r="BG31" s="381"/>
      <c r="BH31" s="382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</row>
    <row r="32" spans="1:82" ht="18" customHeight="1">
      <c r="A32" s="498" t="s">
        <v>33</v>
      </c>
      <c r="B32" s="499"/>
      <c r="C32" s="499"/>
      <c r="D32" s="499"/>
      <c r="E32" s="499"/>
      <c r="F32" s="499"/>
      <c r="I32" s="183" t="s">
        <v>40</v>
      </c>
      <c r="J32" s="496">
        <v>38</v>
      </c>
      <c r="K32" s="497"/>
      <c r="L32" s="7"/>
      <c r="M32" s="7"/>
      <c r="N32" s="126"/>
      <c r="O32" s="8"/>
      <c r="P32" s="8"/>
      <c r="Q32" s="124"/>
      <c r="R32" s="124"/>
      <c r="S32" s="124"/>
      <c r="T32" s="124"/>
      <c r="U32" s="124"/>
      <c r="V32" s="124"/>
      <c r="W32" s="8"/>
      <c r="X32" s="4"/>
      <c r="Y32" s="358" t="str">
        <f>IF($P$13="NO","NO FORI"," ")</f>
        <v xml:space="preserve"> </v>
      </c>
      <c r="Z32" s="358"/>
      <c r="AA32" s="358"/>
      <c r="AB32" s="358"/>
      <c r="AC32" s="358"/>
      <c r="AD32" s="358"/>
      <c r="AE32" s="358"/>
      <c r="AF32" s="358"/>
      <c r="AG32" s="86"/>
      <c r="AH32" s="86"/>
      <c r="AI32" s="21"/>
      <c r="AJ32" s="358" t="str">
        <f>IF($P$15="NO","SMONTATI"," ")</f>
        <v xml:space="preserve"> </v>
      </c>
      <c r="AK32" s="358"/>
      <c r="AL32" s="358"/>
      <c r="AM32" s="358"/>
      <c r="AN32" s="358"/>
      <c r="AO32" s="358"/>
      <c r="AP32" s="87"/>
      <c r="AQ32" s="87"/>
      <c r="AR32" s="87"/>
      <c r="AS32" s="87"/>
      <c r="AT32" s="359" t="str">
        <f>IF($W$15="SFILABILE DAVANTI","FONDO SFILABILE DAVANTI",IF($W$15="NO","NON DARE IL FONDO",IF(ISNUMBER(FIND("GREZZO",$Q$11)),"FONDO SFILABILE DIETRO",IF($W$15="SFILABILE DIETRO","FONDO SFILABILE DIETRO"," "))))</f>
        <v xml:space="preserve"> </v>
      </c>
      <c r="AU32" s="359"/>
      <c r="AV32" s="359"/>
      <c r="AW32" s="359"/>
      <c r="AX32" s="359"/>
      <c r="AY32" s="359"/>
      <c r="AZ32" s="359"/>
      <c r="BA32" s="359"/>
      <c r="BB32" s="359"/>
      <c r="BC32" s="359"/>
      <c r="BD32" s="359"/>
      <c r="BE32" s="359"/>
      <c r="BF32" s="359"/>
      <c r="BG32" s="359"/>
      <c r="BH32" s="359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</row>
    <row r="33" spans="1:82" ht="12.9" customHeight="1">
      <c r="A33" s="185"/>
      <c r="B33" s="132"/>
      <c r="C33" s="138"/>
      <c r="I33" s="183" t="s">
        <v>39</v>
      </c>
      <c r="J33" s="496">
        <v>43.2</v>
      </c>
      <c r="K33" s="497"/>
      <c r="L33" s="8"/>
      <c r="M33" s="8"/>
      <c r="N33" s="126"/>
      <c r="O33" s="8"/>
      <c r="P33" s="8"/>
      <c r="Q33" s="124"/>
      <c r="R33" s="124"/>
      <c r="S33" s="124"/>
      <c r="T33" s="124"/>
      <c r="U33" s="124"/>
      <c r="V33" s="124"/>
      <c r="W33" s="8"/>
      <c r="Y33" s="388" t="s">
        <v>21</v>
      </c>
      <c r="Z33" s="388"/>
      <c r="AA33" s="388"/>
      <c r="AB33" s="388"/>
      <c r="AC33" s="383" t="str">
        <f>IF(MODULO!AL30&gt;0,MODULO!AL30,"")</f>
        <v/>
      </c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6"/>
      <c r="BJ33" s="6"/>
      <c r="BK33" s="6"/>
      <c r="BL33" s="6"/>
      <c r="BM33" s="6"/>
      <c r="BN33" s="6"/>
      <c r="BO33" s="6"/>
      <c r="BP33" s="18"/>
      <c r="BQ33" s="18"/>
      <c r="BR33" s="18"/>
      <c r="BS33" s="18"/>
      <c r="BT33" s="18"/>
      <c r="BU33" s="6"/>
      <c r="BV33" s="6"/>
      <c r="BW33" s="6"/>
      <c r="BX33" s="6"/>
      <c r="BY33" s="6"/>
      <c r="BZ33" s="6"/>
      <c r="CA33" s="6"/>
      <c r="CB33" s="6"/>
      <c r="CC33" s="6"/>
      <c r="CD33" s="6"/>
    </row>
    <row r="34" spans="1:82" s="1" customFormat="1" ht="15" customHeight="1">
      <c r="A34" s="182"/>
      <c r="B34" s="133"/>
      <c r="C34" s="139"/>
      <c r="D34"/>
      <c r="E34"/>
      <c r="F34"/>
      <c r="G34"/>
      <c r="H34"/>
      <c r="I34" s="184"/>
      <c r="J34" s="139"/>
      <c r="K34"/>
      <c r="L34" s="8"/>
      <c r="M34" s="8"/>
      <c r="N34" s="127"/>
      <c r="O34" s="8"/>
      <c r="P34" s="8"/>
      <c r="Q34" s="124"/>
      <c r="R34" s="124"/>
      <c r="S34" s="124"/>
      <c r="T34" s="124"/>
      <c r="U34" s="124"/>
      <c r="V34" s="124"/>
      <c r="W34" s="8"/>
      <c r="X34" s="4"/>
      <c r="Y34" s="389">
        <f>MODULO!BG35</f>
        <v>0</v>
      </c>
      <c r="Z34" s="390"/>
      <c r="AA34" s="390"/>
      <c r="AB34" s="390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8"/>
      <c r="BJ34" s="8"/>
      <c r="BK34" s="8"/>
      <c r="BL34" s="8"/>
      <c r="BM34" s="8"/>
      <c r="BN34" s="8"/>
      <c r="BO34" s="8"/>
      <c r="BP34" s="18"/>
      <c r="BQ34" s="18"/>
      <c r="BR34" s="18"/>
      <c r="BS34" s="18"/>
      <c r="BT34" s="18"/>
      <c r="BU34" s="8"/>
      <c r="BV34" s="8"/>
      <c r="BW34" s="8"/>
      <c r="BX34" s="8"/>
      <c r="BY34" s="8"/>
      <c r="BZ34" s="8"/>
      <c r="CA34" s="8"/>
      <c r="CB34" s="8"/>
      <c r="CC34" s="8"/>
      <c r="CD34" s="8"/>
    </row>
    <row r="35" spans="1:82" s="1" customFormat="1" ht="15" customHeight="1">
      <c r="A35" s="186" t="s">
        <v>34</v>
      </c>
      <c r="B35" s="132"/>
      <c r="C35" s="138"/>
      <c r="D35"/>
      <c r="E35"/>
      <c r="F35"/>
      <c r="G35"/>
      <c r="H35"/>
      <c r="I35" s="183" t="s">
        <v>40</v>
      </c>
      <c r="J35" s="496">
        <v>30</v>
      </c>
      <c r="K35" s="497"/>
      <c r="L35" s="8"/>
      <c r="M35" s="8"/>
      <c r="N35" s="126"/>
      <c r="O35" s="8"/>
      <c r="P35" s="8"/>
      <c r="Q35" s="124"/>
      <c r="R35" s="124"/>
      <c r="S35" s="124"/>
      <c r="T35" s="124"/>
      <c r="U35" s="124"/>
      <c r="V35" s="124"/>
      <c r="W35" s="8"/>
      <c r="X35" s="4"/>
      <c r="Y35" s="390"/>
      <c r="Z35" s="390"/>
      <c r="AA35" s="390"/>
      <c r="AB35" s="390"/>
      <c r="AC35" s="361" t="str">
        <f>IF(MODULO!AL35&gt;0,MODULO!AL35,"")</f>
        <v/>
      </c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361"/>
      <c r="AO35" s="361"/>
      <c r="AP35" s="361"/>
      <c r="AQ35" s="361"/>
      <c r="AR35" s="361"/>
      <c r="AS35" s="361"/>
      <c r="AT35" s="361"/>
      <c r="AU35" s="361"/>
      <c r="AV35" s="361"/>
      <c r="AW35" s="361"/>
      <c r="AX35" s="361"/>
      <c r="AY35" s="361"/>
      <c r="AZ35" s="361"/>
      <c r="BA35" s="361"/>
      <c r="BB35" s="361"/>
      <c r="BC35" s="361"/>
      <c r="BD35" s="361"/>
      <c r="BE35" s="361"/>
      <c r="BF35" s="361"/>
      <c r="BG35" s="361"/>
      <c r="BH35" s="361"/>
      <c r="BI35" s="8"/>
      <c r="BJ35" s="8"/>
      <c r="BK35" s="8"/>
      <c r="BL35" s="8"/>
      <c r="BM35" s="8"/>
      <c r="BN35" s="8"/>
      <c r="BO35" s="8"/>
      <c r="BP35" s="18"/>
      <c r="BQ35" s="18"/>
      <c r="BR35" s="18"/>
      <c r="BS35" s="18"/>
      <c r="BT35" s="18"/>
      <c r="BU35" s="8"/>
      <c r="BV35" s="8"/>
      <c r="BW35" s="8"/>
      <c r="BX35" s="8"/>
      <c r="BY35" s="8"/>
      <c r="BZ35" s="8"/>
      <c r="CA35" s="8"/>
      <c r="CB35" s="8"/>
      <c r="CC35" s="8"/>
      <c r="CD35" s="8"/>
    </row>
    <row r="36" spans="1:82" s="1" customFormat="1" ht="15" customHeight="1">
      <c r="A36" s="185"/>
      <c r="B36" s="132"/>
      <c r="C36" s="138"/>
      <c r="D36"/>
      <c r="E36"/>
      <c r="F36"/>
      <c r="G36"/>
      <c r="H36"/>
      <c r="I36" s="183" t="s">
        <v>39</v>
      </c>
      <c r="J36" s="496">
        <v>35</v>
      </c>
      <c r="K36" s="497"/>
      <c r="L36" s="8"/>
      <c r="M36" s="8"/>
      <c r="N36" s="127"/>
      <c r="O36" s="8"/>
      <c r="P36" s="8"/>
      <c r="Q36" s="8"/>
      <c r="R36" s="8"/>
      <c r="S36" s="8"/>
      <c r="T36" s="8"/>
      <c r="U36" s="8"/>
      <c r="V36" s="8"/>
      <c r="W36" s="8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8"/>
      <c r="BJ36" s="8"/>
      <c r="BK36" s="8"/>
      <c r="BL36" s="8"/>
      <c r="BM36" s="8"/>
      <c r="BN36" s="8"/>
      <c r="BO36" s="8"/>
      <c r="BP36" s="18"/>
      <c r="BQ36" s="18"/>
      <c r="BR36" s="18"/>
      <c r="BS36" s="18"/>
      <c r="BT36" s="18"/>
      <c r="BU36" s="8"/>
      <c r="BV36" s="8"/>
      <c r="BW36" s="8"/>
      <c r="BX36" s="8"/>
      <c r="BY36" s="8"/>
      <c r="BZ36" s="8"/>
      <c r="CA36" s="8"/>
      <c r="CB36" s="8"/>
      <c r="CC36" s="8"/>
      <c r="CD36" s="8"/>
    </row>
    <row r="37" spans="1:82" ht="15" customHeight="1">
      <c r="A37" s="182"/>
      <c r="B37" s="133"/>
      <c r="C37" s="139"/>
      <c r="I37" s="184"/>
      <c r="J37" s="139"/>
      <c r="L37" s="6"/>
      <c r="M37" s="6"/>
      <c r="N37" s="126"/>
      <c r="O37" s="8"/>
      <c r="P37" s="8"/>
      <c r="Q37" s="8"/>
      <c r="R37" s="8"/>
      <c r="S37" s="8"/>
      <c r="T37" s="8"/>
      <c r="U37" s="8"/>
      <c r="V37" s="8"/>
      <c r="W37" s="8"/>
      <c r="X37" s="20"/>
      <c r="Y37" s="20"/>
      <c r="Z37" s="20"/>
      <c r="AA37" s="20"/>
      <c r="AB37" s="20"/>
      <c r="AC37" s="20"/>
      <c r="AD37" s="2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6"/>
      <c r="BJ37" s="6"/>
      <c r="BK37" s="6"/>
      <c r="BL37" s="6"/>
      <c r="BM37" s="6"/>
      <c r="BN37" s="6"/>
      <c r="BO37" s="6"/>
      <c r="BP37" s="18"/>
      <c r="BQ37" s="18"/>
      <c r="BR37" s="18"/>
      <c r="BS37" s="18"/>
      <c r="BT37" s="18"/>
      <c r="BU37" s="6"/>
      <c r="BV37" s="6"/>
      <c r="BW37" s="6"/>
      <c r="BX37" s="6"/>
      <c r="BY37" s="6"/>
      <c r="BZ37" s="6"/>
      <c r="CA37" s="6"/>
      <c r="CB37" s="6"/>
      <c r="CC37" s="6"/>
      <c r="CD37" s="6"/>
    </row>
    <row r="38" spans="1:82" ht="15" customHeight="1">
      <c r="A38" s="187" t="s">
        <v>126</v>
      </c>
      <c r="B38" s="132"/>
      <c r="C38" s="138"/>
      <c r="I38" s="183" t="s">
        <v>41</v>
      </c>
      <c r="J38" s="496">
        <v>22.05</v>
      </c>
      <c r="K38" s="497"/>
      <c r="L38" s="6"/>
      <c r="M38" s="6"/>
      <c r="N38" s="126"/>
      <c r="O38" s="8"/>
      <c r="P38" s="8"/>
      <c r="Q38" s="8"/>
      <c r="R38" s="8"/>
      <c r="S38" s="8"/>
      <c r="T38" s="8"/>
      <c r="U38" s="8"/>
      <c r="V38" s="8"/>
      <c r="W38" s="8"/>
      <c r="Y38" s="345" t="s">
        <v>12</v>
      </c>
      <c r="Z38" s="345"/>
      <c r="AA38" s="345"/>
      <c r="AB38" s="345"/>
      <c r="AC38" s="345"/>
      <c r="AD38" s="347">
        <f>AD11</f>
        <v>0</v>
      </c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5" t="s">
        <v>13</v>
      </c>
      <c r="AX38" s="345"/>
      <c r="AY38" s="345"/>
      <c r="AZ38" s="345"/>
      <c r="BA38" s="345"/>
      <c r="BB38" s="345"/>
      <c r="BC38" s="345"/>
      <c r="BD38" s="346" t="str">
        <f>BD11</f>
        <v/>
      </c>
      <c r="BE38" s="346"/>
      <c r="BF38" s="346"/>
      <c r="BG38" s="346"/>
      <c r="BH38" s="346"/>
      <c r="BI38" s="6"/>
      <c r="BJ38" s="6"/>
      <c r="BK38" s="6"/>
      <c r="BL38" s="6"/>
      <c r="BM38" s="6"/>
      <c r="BN38" s="6"/>
      <c r="BO38" s="6"/>
      <c r="BP38" s="18"/>
      <c r="BQ38" s="18"/>
      <c r="BR38" s="18"/>
      <c r="BS38" s="18"/>
      <c r="BT38" s="18"/>
      <c r="BU38" s="6"/>
      <c r="BV38" s="6"/>
      <c r="BW38" s="6"/>
      <c r="BX38" s="6"/>
      <c r="BY38" s="6"/>
      <c r="BZ38" s="6"/>
      <c r="CA38" s="6"/>
      <c r="CB38" s="6"/>
      <c r="CC38" s="6"/>
      <c r="CD38" s="6"/>
    </row>
    <row r="39" spans="1:82" ht="15" customHeight="1">
      <c r="A39" s="188"/>
      <c r="B39" s="134"/>
      <c r="C39" s="139"/>
      <c r="I39" s="189"/>
      <c r="J39" s="139"/>
      <c r="L39" s="6"/>
      <c r="M39" s="6"/>
      <c r="N39" s="39"/>
      <c r="O39" s="8"/>
      <c r="P39" s="8"/>
      <c r="Q39" s="8"/>
      <c r="R39" s="8"/>
      <c r="S39" s="8"/>
      <c r="T39" s="8"/>
      <c r="U39" s="8"/>
      <c r="V39" s="8"/>
      <c r="W39" s="8"/>
      <c r="Y39" s="348" t="s">
        <v>89</v>
      </c>
      <c r="Z39" s="348"/>
      <c r="AA39" s="348"/>
      <c r="AB39" s="348"/>
      <c r="AC39" s="348"/>
      <c r="AD39" s="348"/>
      <c r="AE39" s="349">
        <f>AE12</f>
        <v>0</v>
      </c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/>
      <c r="BH39" s="349"/>
      <c r="BI39" s="6"/>
      <c r="BJ39" s="6"/>
      <c r="BK39" s="6"/>
      <c r="BL39" s="6"/>
      <c r="BM39" s="6"/>
      <c r="BN39" s="6"/>
      <c r="BO39" s="6"/>
      <c r="BP39" s="18"/>
      <c r="BQ39" s="18"/>
      <c r="BR39" s="18"/>
      <c r="BS39" s="18"/>
      <c r="BT39" s="18"/>
      <c r="BU39" s="6"/>
      <c r="BV39" s="6"/>
      <c r="BW39" s="6"/>
      <c r="BX39" s="6"/>
      <c r="BY39" s="6"/>
      <c r="BZ39" s="6"/>
      <c r="CA39" s="6"/>
      <c r="CB39" s="6"/>
      <c r="CC39" s="6"/>
      <c r="CD39" s="6"/>
    </row>
    <row r="40" spans="1:82" ht="15" customHeight="1">
      <c r="A40" s="519" t="s">
        <v>113</v>
      </c>
      <c r="B40" s="132"/>
      <c r="C40" s="138"/>
      <c r="I40" s="183" t="s">
        <v>41</v>
      </c>
      <c r="J40" s="496">
        <v>17</v>
      </c>
      <c r="K40" s="497"/>
      <c r="L40" s="6"/>
      <c r="M40" s="6"/>
      <c r="N40" s="126"/>
      <c r="O40" s="8"/>
      <c r="P40" s="8"/>
      <c r="Q40" s="8"/>
      <c r="R40" s="8"/>
      <c r="S40" s="8"/>
      <c r="T40" s="8"/>
      <c r="U40" s="8"/>
      <c r="V40" s="8"/>
      <c r="W40" s="8"/>
      <c r="Y40" s="350" t="s">
        <v>14</v>
      </c>
      <c r="Z40" s="350"/>
      <c r="AA40" s="350"/>
      <c r="AB40" s="350"/>
      <c r="AC40" s="350"/>
      <c r="AD40" s="350"/>
      <c r="AE40" s="350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7"/>
      <c r="AS40" s="347"/>
      <c r="AT40" s="347"/>
      <c r="AU40" s="347" t="s">
        <v>15</v>
      </c>
      <c r="AV40" s="347"/>
      <c r="AW40" s="347"/>
      <c r="AX40" s="347">
        <f>AX13</f>
        <v>0</v>
      </c>
      <c r="AY40" s="347"/>
      <c r="AZ40" s="347"/>
      <c r="BA40" s="347"/>
      <c r="BB40" s="347"/>
      <c r="BC40" s="347"/>
      <c r="BD40" s="347"/>
      <c r="BE40" s="347"/>
      <c r="BF40" s="347"/>
      <c r="BG40" s="347"/>
      <c r="BH40" s="347"/>
      <c r="BI40" s="6"/>
      <c r="BJ40" s="6"/>
      <c r="BK40" s="6"/>
      <c r="BL40" s="6"/>
      <c r="BM40" s="6"/>
      <c r="BN40" s="6"/>
      <c r="BO40" s="6"/>
      <c r="BP40" s="18"/>
      <c r="BQ40" s="18"/>
      <c r="BR40" s="18"/>
      <c r="BS40" s="18"/>
      <c r="BT40" s="18"/>
      <c r="BU40" s="6"/>
      <c r="BV40" s="6"/>
      <c r="BW40" s="6"/>
      <c r="BX40" s="6"/>
      <c r="BY40" s="6"/>
      <c r="BZ40" s="6"/>
      <c r="CA40" s="6"/>
      <c r="CB40" s="6"/>
      <c r="CC40" s="6"/>
      <c r="CD40" s="6"/>
    </row>
    <row r="41" spans="1:82" ht="15" customHeight="1">
      <c r="A41" s="520"/>
      <c r="B41" s="132"/>
      <c r="C41" s="138"/>
      <c r="I41" s="183" t="s">
        <v>127</v>
      </c>
      <c r="J41" s="496">
        <v>22</v>
      </c>
      <c r="K41" s="497"/>
      <c r="L41" s="6"/>
      <c r="M41" s="6"/>
      <c r="N41" s="126"/>
      <c r="O41" s="8"/>
      <c r="P41" s="8"/>
      <c r="Q41" s="8"/>
      <c r="R41" s="8"/>
      <c r="S41" s="8"/>
      <c r="T41" s="8"/>
      <c r="U41" s="8"/>
      <c r="V41" s="8"/>
      <c r="W41" s="8"/>
      <c r="Y41" s="351"/>
      <c r="Z41" s="351"/>
      <c r="AA41" s="351"/>
      <c r="AB41" s="351"/>
      <c r="AC41" s="351"/>
      <c r="AD41" s="351"/>
      <c r="AE41" s="351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BI41" s="6"/>
      <c r="BJ41" s="6"/>
      <c r="BK41" s="6"/>
      <c r="BL41" s="6"/>
      <c r="BM41" s="6"/>
      <c r="BN41" s="6"/>
      <c r="BO41" s="6"/>
      <c r="BP41" s="18"/>
      <c r="BQ41" s="18"/>
      <c r="BR41" s="18"/>
      <c r="BS41" s="18"/>
      <c r="BT41" s="18"/>
      <c r="BU41" s="6"/>
      <c r="BV41" s="6"/>
      <c r="BW41" s="6"/>
      <c r="BX41" s="6"/>
      <c r="BY41" s="6"/>
      <c r="BZ41" s="6"/>
      <c r="CA41" s="6"/>
      <c r="CB41" s="6"/>
      <c r="CC41" s="6"/>
      <c r="CD41" s="6"/>
    </row>
    <row r="42" spans="1:82" ht="15" customHeight="1" thickBot="1">
      <c r="A42" s="190"/>
      <c r="B42" s="135"/>
      <c r="C42" s="140"/>
      <c r="L42" s="6"/>
      <c r="M42" s="6"/>
      <c r="N42" s="128"/>
      <c r="O42" s="8"/>
      <c r="P42" s="8"/>
      <c r="Q42" s="8"/>
      <c r="R42" s="8"/>
      <c r="S42" s="8"/>
      <c r="T42" s="8"/>
      <c r="U42" s="8"/>
      <c r="V42" s="8"/>
      <c r="W42" s="147"/>
      <c r="X42" s="20"/>
      <c r="Y42" s="330" t="s">
        <v>43</v>
      </c>
      <c r="Z42" s="331"/>
      <c r="AA42" s="331"/>
      <c r="AB42" s="331"/>
      <c r="AC42" s="331"/>
      <c r="AD42" s="332"/>
      <c r="AE42" s="330">
        <f>P11</f>
        <v>0</v>
      </c>
      <c r="AF42" s="331"/>
      <c r="AG42" s="331"/>
      <c r="AH42" s="331"/>
      <c r="AI42" s="331"/>
      <c r="AJ42" s="332"/>
      <c r="AK42" s="333">
        <f>Q11</f>
        <v>0</v>
      </c>
      <c r="AL42" s="333"/>
      <c r="AM42" s="333"/>
      <c r="AN42" s="333"/>
      <c r="AO42" s="333"/>
      <c r="AP42" s="333"/>
      <c r="AQ42" s="333"/>
      <c r="AR42" s="333"/>
      <c r="AS42" s="333"/>
      <c r="AT42" s="20"/>
      <c r="AU42" s="538" t="str">
        <f>MODULO!AJ20</f>
        <v>CASSETTI LEGNO  V.14</v>
      </c>
      <c r="AV42" s="539"/>
      <c r="AW42" s="539"/>
      <c r="AX42" s="539"/>
      <c r="AY42" s="539"/>
      <c r="AZ42" s="539"/>
      <c r="BA42" s="539"/>
      <c r="BB42" s="539"/>
      <c r="BC42" s="539"/>
      <c r="BD42" s="539"/>
      <c r="BE42" s="539"/>
      <c r="BF42" s="539"/>
      <c r="BG42" s="539"/>
      <c r="BH42" s="539"/>
      <c r="BI42" s="6"/>
      <c r="BJ42" s="6"/>
      <c r="BK42" s="6"/>
      <c r="BL42" s="6"/>
      <c r="BM42" s="6"/>
      <c r="BN42" s="6"/>
      <c r="BO42" s="6"/>
      <c r="BP42" s="18"/>
      <c r="BQ42" s="18"/>
      <c r="BR42" s="18"/>
      <c r="BS42" s="18"/>
      <c r="BT42" s="18"/>
      <c r="BU42" s="6"/>
      <c r="BV42" s="6"/>
      <c r="BW42" s="6"/>
      <c r="BX42" s="6"/>
      <c r="BY42" s="6"/>
      <c r="BZ42" s="6"/>
      <c r="CA42" s="6"/>
      <c r="CB42" s="6"/>
      <c r="CC42" s="6"/>
      <c r="CD42" s="6"/>
    </row>
    <row r="43" spans="1:82" ht="15" customHeight="1">
      <c r="A43" s="133"/>
      <c r="B43" s="133"/>
      <c r="C43" s="141"/>
      <c r="L43" s="6"/>
      <c r="M43" s="6"/>
      <c r="N43" s="39"/>
      <c r="O43" s="8"/>
      <c r="P43" s="8"/>
      <c r="Q43" s="8"/>
      <c r="R43" s="8"/>
      <c r="S43" s="8"/>
      <c r="T43" s="8"/>
      <c r="U43" s="8"/>
      <c r="V43" s="8"/>
      <c r="W43" s="8"/>
      <c r="X43" s="20"/>
      <c r="Y43" s="330" t="s">
        <v>55</v>
      </c>
      <c r="Z43" s="331"/>
      <c r="AA43" s="331"/>
      <c r="AB43" s="331"/>
      <c r="AC43" s="331"/>
      <c r="AD43" s="332"/>
      <c r="AE43" s="378">
        <f>P12</f>
        <v>0</v>
      </c>
      <c r="AF43" s="379"/>
      <c r="AG43" s="379"/>
      <c r="AH43" s="379"/>
      <c r="AI43" s="379"/>
      <c r="AJ43" s="379"/>
      <c r="AK43" s="379"/>
      <c r="AL43" s="379"/>
      <c r="AM43" s="380"/>
      <c r="AN43" s="366"/>
      <c r="AO43" s="367"/>
      <c r="AP43" s="368"/>
      <c r="AQ43" s="330">
        <f>IF(ISNUMBER(FIND("HETTICH",$AE$43)),J46,IF(AND($AE$43="BLUM                                                    DEL CLIENTE"),J47,IF(AND($AE$43="BLUM"),J47,IF(AND($AE$43="GRASS"),J47,IF(AND($AE$43="SALICE"),J47,IF(AND($AE$43="ALTRO"),J47,IF(AND($AE$43="A ROTELLA"),J48,IF(AND($AE$43="A ROTELLA GRIGIA"),J48,0))))))))</f>
        <v>0</v>
      </c>
      <c r="AR43" s="331"/>
      <c r="AS43" s="332"/>
      <c r="AT43" s="20"/>
      <c r="AU43" s="539"/>
      <c r="AV43" s="539"/>
      <c r="AW43" s="539"/>
      <c r="AX43" s="539"/>
      <c r="AY43" s="539"/>
      <c r="AZ43" s="539"/>
      <c r="BA43" s="539"/>
      <c r="BB43" s="539"/>
      <c r="BC43" s="539"/>
      <c r="BD43" s="539"/>
      <c r="BE43" s="539"/>
      <c r="BF43" s="539"/>
      <c r="BG43" s="539"/>
      <c r="BH43" s="539"/>
      <c r="BI43" s="6"/>
      <c r="BJ43" s="6"/>
      <c r="BK43" s="6"/>
      <c r="BL43" s="6"/>
      <c r="BM43" s="6"/>
      <c r="BN43" s="6"/>
      <c r="BO43" s="6"/>
      <c r="BP43" s="18"/>
      <c r="BQ43" s="18"/>
      <c r="BR43" s="18"/>
      <c r="BS43" s="18"/>
      <c r="BT43" s="18"/>
      <c r="BU43" s="6"/>
      <c r="BV43" s="6"/>
      <c r="BW43" s="6"/>
      <c r="BX43" s="6"/>
      <c r="BY43" s="6"/>
      <c r="BZ43" s="6"/>
      <c r="CA43" s="6"/>
      <c r="CB43" s="6"/>
      <c r="CC43" s="6"/>
      <c r="CD43" s="6"/>
    </row>
    <row r="44" spans="1:82" s="2" customFormat="1" ht="15" customHeight="1">
      <c r="A44" s="521" t="s">
        <v>35</v>
      </c>
      <c r="B44" s="522"/>
      <c r="C44" s="522"/>
      <c r="D44" s="522"/>
      <c r="E44" s="522"/>
      <c r="F44" s="522"/>
      <c r="G44" s="522"/>
      <c r="H44" s="522"/>
      <c r="I44" s="523"/>
      <c r="J44" s="514">
        <v>2</v>
      </c>
      <c r="K44" s="515"/>
      <c r="L44" s="7"/>
      <c r="M44" s="7"/>
      <c r="N44" s="126"/>
      <c r="O44" s="8"/>
      <c r="P44" s="8"/>
      <c r="Q44" s="8" t="s">
        <v>2</v>
      </c>
      <c r="R44" s="8"/>
      <c r="S44" s="8"/>
      <c r="T44" s="8"/>
      <c r="U44" s="8"/>
      <c r="V44" s="8"/>
      <c r="W44" s="8"/>
      <c r="X44" s="20"/>
      <c r="Y44" s="330" t="s">
        <v>45</v>
      </c>
      <c r="Z44" s="331"/>
      <c r="AA44" s="331"/>
      <c r="AB44" s="331"/>
      <c r="AC44" s="331"/>
      <c r="AD44" s="332"/>
      <c r="AE44" s="330" t="str">
        <f>P13</f>
        <v>SI</v>
      </c>
      <c r="AF44" s="331"/>
      <c r="AG44" s="331"/>
      <c r="AH44" s="331"/>
      <c r="AI44" s="331"/>
      <c r="AJ44" s="332"/>
      <c r="AK44" s="366"/>
      <c r="AL44" s="367"/>
      <c r="AM44" s="368"/>
      <c r="AN44" s="330"/>
      <c r="AO44" s="331"/>
      <c r="AP44" s="332"/>
      <c r="AQ44" s="330"/>
      <c r="AR44" s="331"/>
      <c r="AS44" s="332"/>
      <c r="AT44" s="20"/>
      <c r="AU44" s="539"/>
      <c r="AV44" s="539"/>
      <c r="AW44" s="539"/>
      <c r="AX44" s="539"/>
      <c r="AY44" s="539"/>
      <c r="AZ44" s="539"/>
      <c r="BA44" s="539"/>
      <c r="BB44" s="539"/>
      <c r="BC44" s="539"/>
      <c r="BD44" s="539"/>
      <c r="BE44" s="539"/>
      <c r="BF44" s="539"/>
      <c r="BG44" s="539"/>
      <c r="BH44" s="539"/>
      <c r="BI44" s="7"/>
      <c r="BJ44" s="7"/>
      <c r="BK44" s="7"/>
      <c r="BL44" s="7"/>
      <c r="BM44" s="7"/>
      <c r="BN44" s="7"/>
      <c r="BO44" s="7"/>
      <c r="BP44" s="18"/>
      <c r="BQ44" s="18"/>
      <c r="BR44" s="18"/>
      <c r="BS44" s="18"/>
      <c r="BT44" s="18"/>
      <c r="BU44" s="7"/>
      <c r="BV44" s="7"/>
      <c r="BW44" s="7"/>
      <c r="BX44" s="7"/>
      <c r="BY44" s="7"/>
      <c r="BZ44" s="7"/>
      <c r="CA44" s="7"/>
      <c r="CB44" s="7"/>
      <c r="CC44" s="7"/>
      <c r="CD44" s="7"/>
    </row>
    <row r="45" spans="1:82" s="1" customFormat="1" ht="15" customHeight="1">
      <c r="A45" s="131"/>
      <c r="B45" s="136"/>
      <c r="C45" s="142"/>
      <c r="D45"/>
      <c r="E45"/>
      <c r="F45"/>
      <c r="G45"/>
      <c r="H45"/>
      <c r="I45"/>
      <c r="J45" s="142"/>
      <c r="K45"/>
      <c r="L45" s="8"/>
      <c r="M45" s="8"/>
      <c r="N45" s="126"/>
      <c r="O45" s="8"/>
      <c r="P45" s="8"/>
      <c r="Q45" s="362" t="b">
        <f>IF(ISNUMBER(FIND("FRASSINO",AK42)),J28,IF(ISNUMBER(FIND("SBIANCATO",AK42)),J28,IF(ISNUMBER(FIND("LAMINATO",AK42)),J28,IF(ISNUMBER(FIND("ROVERE GREZZO",AK42)),J32,IF(ISNUMBER(FIND("ROVERE VERNICIATO",AK42)),J33,IF(ISNUMBER(FIND("TESSUTO",AK42)),J38,IF(ISNUMBER(FIND("PELLE ANTRACITE",AK42)),J40,IF(ISNUMBER(FIND("FAGGIO LUCIDO",AK42)),J36,IF(ISNUMBER(FIND("FAGGIO GREZZO",AK42)),J35,IF(AND(AE42="NOBILITATO",AK42="BIANCO"),J38,IF(AND(AE42="NOBILITATO",AK42="NERO"),J38)))))))))))</f>
        <v>0</v>
      </c>
      <c r="R45" s="363"/>
      <c r="S45" s="363"/>
      <c r="T45" s="363"/>
      <c r="U45" s="363"/>
      <c r="V45" s="364"/>
      <c r="W45" s="16"/>
      <c r="X45" s="20"/>
      <c r="Y45" s="330" t="s">
        <v>44</v>
      </c>
      <c r="Z45" s="331"/>
      <c r="AA45" s="331"/>
      <c r="AB45" s="331"/>
      <c r="AC45" s="331"/>
      <c r="AD45" s="332"/>
      <c r="AE45" s="375">
        <f>P14</f>
        <v>0</v>
      </c>
      <c r="AF45" s="376"/>
      <c r="AG45" s="376"/>
      <c r="AH45" s="376"/>
      <c r="AI45" s="376"/>
      <c r="AJ45" s="377"/>
      <c r="AK45" s="366"/>
      <c r="AL45" s="367"/>
      <c r="AM45" s="368"/>
      <c r="AN45" s="330"/>
      <c r="AO45" s="331"/>
      <c r="AP45" s="332"/>
      <c r="AQ45" s="330"/>
      <c r="AR45" s="331"/>
      <c r="AS45" s="332"/>
      <c r="AT45" s="20"/>
      <c r="AU45" s="539"/>
      <c r="AV45" s="539"/>
      <c r="AW45" s="539"/>
      <c r="AX45" s="539"/>
      <c r="AY45" s="539"/>
      <c r="AZ45" s="539"/>
      <c r="BA45" s="539"/>
      <c r="BB45" s="539"/>
      <c r="BC45" s="539"/>
      <c r="BD45" s="539"/>
      <c r="BE45" s="539"/>
      <c r="BF45" s="539"/>
      <c r="BG45" s="539"/>
      <c r="BH45" s="539"/>
      <c r="BI45" s="12"/>
      <c r="BJ45" s="8"/>
      <c r="BK45" s="8"/>
      <c r="BL45" s="8"/>
      <c r="BM45" s="8"/>
      <c r="BN45" s="8"/>
      <c r="BO45" s="8"/>
      <c r="BP45" s="18"/>
      <c r="BQ45" s="18"/>
      <c r="BR45" s="18"/>
      <c r="BS45" s="18"/>
      <c r="BT45" s="18"/>
      <c r="BU45" s="8"/>
      <c r="BV45" s="8"/>
      <c r="BW45" s="8"/>
      <c r="BX45" s="8"/>
      <c r="BY45" s="8"/>
      <c r="BZ45" s="8"/>
      <c r="CA45" s="8"/>
      <c r="CB45" s="8"/>
      <c r="CC45" s="8"/>
      <c r="CD45" s="8"/>
    </row>
    <row r="46" spans="1:82" s="1" customFormat="1" ht="15" customHeight="1">
      <c r="A46" s="512" t="s">
        <v>114</v>
      </c>
      <c r="B46" s="513"/>
      <c r="C46" s="513"/>
      <c r="D46" s="513"/>
      <c r="E46" s="513"/>
      <c r="F46" s="513"/>
      <c r="G46" s="524" t="s">
        <v>115</v>
      </c>
      <c r="H46" s="524"/>
      <c r="I46" s="525"/>
      <c r="J46" s="514">
        <v>1.5</v>
      </c>
      <c r="K46" s="515"/>
      <c r="L46" s="8"/>
      <c r="M46" s="8"/>
      <c r="N46" s="126"/>
      <c r="O46" s="147"/>
      <c r="P46" s="8"/>
      <c r="Q46" s="362"/>
      <c r="R46" s="363"/>
      <c r="S46" s="363"/>
      <c r="T46" s="363"/>
      <c r="U46" s="363"/>
      <c r="V46" s="364"/>
      <c r="W46" s="8"/>
      <c r="X46" s="20"/>
      <c r="Y46" s="330" t="s">
        <v>57</v>
      </c>
      <c r="Z46" s="331"/>
      <c r="AA46" s="331"/>
      <c r="AB46" s="331"/>
      <c r="AC46" s="331"/>
      <c r="AD46" s="332"/>
      <c r="AE46" s="330">
        <f>P15</f>
        <v>0</v>
      </c>
      <c r="AF46" s="331"/>
      <c r="AG46" s="331"/>
      <c r="AH46" s="331"/>
      <c r="AI46" s="331"/>
      <c r="AJ46" s="332"/>
      <c r="AK46" s="366"/>
      <c r="AL46" s="367"/>
      <c r="AM46" s="368"/>
      <c r="AN46" s="366"/>
      <c r="AO46" s="367"/>
      <c r="AP46" s="368"/>
      <c r="AQ46" s="366">
        <f>IF(AE46="SI",J44,0)</f>
        <v>0</v>
      </c>
      <c r="AR46" s="367"/>
      <c r="AS46" s="368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8"/>
      <c r="BE46" s="20"/>
      <c r="BF46" s="20"/>
      <c r="BG46" s="20"/>
      <c r="BH46" s="20"/>
      <c r="BI46" s="26"/>
      <c r="BJ46" s="8"/>
      <c r="BK46" s="8"/>
      <c r="BL46" s="8"/>
      <c r="BM46" s="8"/>
      <c r="BN46" s="8"/>
      <c r="BO46" s="8"/>
      <c r="BP46" s="18"/>
      <c r="BQ46" s="18"/>
      <c r="BR46" s="18"/>
      <c r="BS46" s="18"/>
      <c r="BT46" s="18"/>
      <c r="BU46" s="8"/>
      <c r="BV46" s="8"/>
      <c r="BW46" s="8"/>
      <c r="BX46" s="8"/>
      <c r="BY46" s="8"/>
      <c r="BZ46" s="8"/>
      <c r="CA46" s="8"/>
      <c r="CB46" s="8"/>
      <c r="CC46" s="8"/>
      <c r="CD46" s="8"/>
    </row>
    <row r="47" spans="1:82" s="1" customFormat="1" ht="15" customHeight="1">
      <c r="A47" s="508"/>
      <c r="B47" s="509"/>
      <c r="C47" s="509"/>
      <c r="D47" s="509"/>
      <c r="E47" s="509"/>
      <c r="F47" s="509"/>
      <c r="G47" s="510" t="s">
        <v>116</v>
      </c>
      <c r="H47" s="510"/>
      <c r="I47" s="511"/>
      <c r="J47" s="496">
        <v>5.88</v>
      </c>
      <c r="K47" s="497"/>
      <c r="L47" s="8"/>
      <c r="M47" s="8"/>
      <c r="N47" s="126"/>
      <c r="O47" s="148"/>
      <c r="P47" s="34"/>
      <c r="Q47" s="362" t="s">
        <v>60</v>
      </c>
      <c r="R47" s="363"/>
      <c r="S47" s="363"/>
      <c r="T47" s="363"/>
      <c r="U47" s="363"/>
      <c r="V47" s="364"/>
      <c r="W47" s="16" t="s">
        <v>59</v>
      </c>
      <c r="X47" s="20"/>
      <c r="Y47" s="362" t="s">
        <v>3</v>
      </c>
      <c r="Z47" s="363"/>
      <c r="AA47" s="363"/>
      <c r="AB47" s="363"/>
      <c r="AC47" s="363"/>
      <c r="AD47" s="364"/>
      <c r="AE47" s="362" t="s">
        <v>63</v>
      </c>
      <c r="AF47" s="363"/>
      <c r="AG47" s="363"/>
      <c r="AH47" s="363"/>
      <c r="AI47" s="363"/>
      <c r="AJ47" s="364"/>
      <c r="AK47" s="362" t="s">
        <v>62</v>
      </c>
      <c r="AL47" s="363"/>
      <c r="AM47" s="363"/>
      <c r="AN47" s="363"/>
      <c r="AO47" s="363"/>
      <c r="AP47" s="364"/>
      <c r="AQ47" s="362" t="s">
        <v>29</v>
      </c>
      <c r="AR47" s="363"/>
      <c r="AS47" s="363"/>
      <c r="AT47" s="363"/>
      <c r="AU47" s="363"/>
      <c r="AV47" s="364"/>
      <c r="AW47" s="365" t="s">
        <v>54</v>
      </c>
      <c r="AX47" s="363"/>
      <c r="AY47" s="363"/>
      <c r="AZ47" s="363"/>
      <c r="BA47" s="363"/>
      <c r="BB47" s="364"/>
      <c r="BC47" s="365" t="s">
        <v>61</v>
      </c>
      <c r="BD47" s="363"/>
      <c r="BE47" s="363"/>
      <c r="BF47" s="363"/>
      <c r="BG47" s="363"/>
      <c r="BH47" s="364"/>
      <c r="BI47" s="26"/>
      <c r="BJ47" s="8"/>
      <c r="BK47" s="8"/>
      <c r="BL47" s="8"/>
      <c r="BM47" s="8"/>
      <c r="BN47" s="8"/>
      <c r="BO47" s="8"/>
      <c r="BU47" s="8"/>
      <c r="BV47" s="8"/>
      <c r="BW47" s="8"/>
      <c r="BX47" s="8"/>
      <c r="BY47" s="8"/>
      <c r="BZ47" s="8"/>
      <c r="CA47" s="8"/>
      <c r="CB47" s="8"/>
      <c r="CC47" s="8"/>
      <c r="CD47" s="8"/>
    </row>
    <row r="48" spans="1:82" ht="15" customHeight="1">
      <c r="A48" s="512" t="s">
        <v>36</v>
      </c>
      <c r="B48" s="513"/>
      <c r="C48" s="513"/>
      <c r="D48" s="513"/>
      <c r="E48" s="513"/>
      <c r="F48" s="513"/>
      <c r="G48" s="191"/>
      <c r="H48" s="191"/>
      <c r="I48" s="191"/>
      <c r="J48" s="514">
        <v>3.5</v>
      </c>
      <c r="K48" s="515"/>
      <c r="L48" s="6"/>
      <c r="M48" s="6"/>
      <c r="N48" s="126"/>
      <c r="O48" s="329"/>
      <c r="P48" s="334"/>
      <c r="Q48" s="335">
        <f>IF($W$15="NO",0,($L17*$Q17)/1000000*$Q$45)</f>
        <v>0</v>
      </c>
      <c r="R48" s="336"/>
      <c r="S48" s="336"/>
      <c r="T48" s="336"/>
      <c r="U48" s="336"/>
      <c r="V48" s="337"/>
      <c r="W48" s="341" t="b">
        <f>IF($AE$45="3 CON FRONTALE",(($L17*2+$Q17)+($Q17*1.2+8))/1000*N17,IF(OR($AE$45="4 LATI CON FORI",$AE$45="4 SENZA FORI"),(($L17+$Q17)*2)/1000*N17,IF($AE$45="3 LATI",(($L17*2)+$Q17)/1000*N17)))</f>
        <v>0</v>
      </c>
      <c r="X48" s="20"/>
      <c r="Y48" s="353">
        <f>SUM(O17)</f>
        <v>0</v>
      </c>
      <c r="Z48" s="321"/>
      <c r="AA48" s="321"/>
      <c r="AB48" s="321"/>
      <c r="AC48" s="321"/>
      <c r="AD48" s="322"/>
      <c r="AE48" s="353">
        <f>IF(AM16&gt;0,SUM(AM16),0)</f>
        <v>0</v>
      </c>
      <c r="AF48" s="321"/>
      <c r="AG48" s="321"/>
      <c r="AH48" s="321"/>
      <c r="AI48" s="354">
        <f>$P$17</f>
        <v>0</v>
      </c>
      <c r="AJ48" s="355"/>
      <c r="AK48" s="353">
        <f>IF(AB16&gt;0,SUM(AB16),0)</f>
        <v>0</v>
      </c>
      <c r="AL48" s="321"/>
      <c r="AM48" s="321"/>
      <c r="AN48" s="321"/>
      <c r="AO48" s="354">
        <f>$Q$17</f>
        <v>0</v>
      </c>
      <c r="AP48" s="355"/>
      <c r="AQ48" s="353">
        <f>SUM(AJ17)</f>
        <v>0</v>
      </c>
      <c r="AR48" s="321"/>
      <c r="AS48" s="321"/>
      <c r="AT48" s="321"/>
      <c r="AU48" s="321"/>
      <c r="AV48" s="322"/>
      <c r="AW48" s="320">
        <f t="shared" ref="AW48" si="0">IF(BC48&gt;0,SUM(BC48/Y48),0)</f>
        <v>0</v>
      </c>
      <c r="AX48" s="321"/>
      <c r="AY48" s="321"/>
      <c r="AZ48" s="321"/>
      <c r="BA48" s="321"/>
      <c r="BB48" s="322"/>
      <c r="BC48" s="320">
        <f>IF($Y48&gt;=10,SUM($Q48+$W48+$AQ$46+$AQ$43)*$Y48,IF($Y48&lt;10,SUM(($Q48+$W48+$AQ$46)*1.2+$AQ$43)*$Y48,""))</f>
        <v>0</v>
      </c>
      <c r="BD48" s="321"/>
      <c r="BE48" s="321"/>
      <c r="BF48" s="321"/>
      <c r="BG48" s="321"/>
      <c r="BH48" s="322"/>
      <c r="BI48" s="6"/>
      <c r="BJ48" s="542">
        <f>SUM(BL48*2)</f>
        <v>0</v>
      </c>
      <c r="BK48" s="6"/>
      <c r="BL48" s="320">
        <f>IF(BC48&gt;0,SUM(BR48/Y48),0)</f>
        <v>0</v>
      </c>
      <c r="BM48" s="321"/>
      <c r="BN48" s="321"/>
      <c r="BO48" s="321"/>
      <c r="BP48" s="321"/>
      <c r="BQ48" s="322"/>
      <c r="BR48" s="320">
        <f>IF($Y48&gt;=10,SUM($Q48+$W48+$AQ$46+$AQ$43+Foglio1!$T$110)*$Y48,IF($Y48&lt;10,SUM(($Q48+$W48+$AQ$46)*1.2+$AQ$43+Foglio1!$T$110)*$Y48,""))</f>
        <v>0</v>
      </c>
      <c r="BS48" s="321"/>
      <c r="BT48" s="321"/>
      <c r="BU48" s="321"/>
      <c r="BV48" s="321"/>
      <c r="BW48" s="322"/>
      <c r="BX48" s="6"/>
      <c r="BY48" s="6"/>
      <c r="BZ48" s="6"/>
      <c r="CA48" s="6"/>
      <c r="CB48" s="6"/>
      <c r="CC48" s="6"/>
      <c r="CD48" s="6"/>
    </row>
    <row r="49" spans="1:82" s="1" customFormat="1" ht="15" customHeight="1">
      <c r="A49" s="137"/>
      <c r="B49" s="136"/>
      <c r="C49" s="143"/>
      <c r="D49"/>
      <c r="E49"/>
      <c r="F49"/>
      <c r="G49"/>
      <c r="H49"/>
      <c r="I49"/>
      <c r="J49"/>
      <c r="K49"/>
      <c r="L49" s="8"/>
      <c r="M49" s="8"/>
      <c r="N49" s="8"/>
      <c r="O49" s="329"/>
      <c r="P49" s="334"/>
      <c r="Q49" s="338"/>
      <c r="R49" s="339"/>
      <c r="S49" s="339"/>
      <c r="T49" s="339"/>
      <c r="U49" s="339"/>
      <c r="V49" s="340"/>
      <c r="W49" s="342"/>
      <c r="X49" s="20"/>
      <c r="Y49" s="323"/>
      <c r="Z49" s="324"/>
      <c r="AA49" s="324"/>
      <c r="AB49" s="324"/>
      <c r="AC49" s="324"/>
      <c r="AD49" s="325"/>
      <c r="AE49" s="323"/>
      <c r="AF49" s="324"/>
      <c r="AG49" s="324"/>
      <c r="AH49" s="324"/>
      <c r="AI49" s="23"/>
      <c r="AJ49" s="24"/>
      <c r="AK49" s="323"/>
      <c r="AL49" s="324"/>
      <c r="AM49" s="324"/>
      <c r="AN49" s="324"/>
      <c r="AO49" s="23"/>
      <c r="AP49" s="24"/>
      <c r="AQ49" s="323"/>
      <c r="AR49" s="324"/>
      <c r="AS49" s="324"/>
      <c r="AT49" s="324"/>
      <c r="AU49" s="324"/>
      <c r="AV49" s="325"/>
      <c r="AW49" s="323"/>
      <c r="AX49" s="324"/>
      <c r="AY49" s="324"/>
      <c r="AZ49" s="324"/>
      <c r="BA49" s="324"/>
      <c r="BB49" s="325"/>
      <c r="BC49" s="323"/>
      <c r="BD49" s="324"/>
      <c r="BE49" s="324"/>
      <c r="BF49" s="324"/>
      <c r="BG49" s="324"/>
      <c r="BH49" s="325"/>
      <c r="BI49" s="8"/>
      <c r="BJ49" s="543"/>
      <c r="BK49" s="8"/>
      <c r="BL49" s="323"/>
      <c r="BM49" s="324"/>
      <c r="BN49" s="324"/>
      <c r="BO49" s="324"/>
      <c r="BP49" s="324"/>
      <c r="BQ49" s="325"/>
      <c r="BR49" s="323"/>
      <c r="BS49" s="324"/>
      <c r="BT49" s="324"/>
      <c r="BU49" s="324"/>
      <c r="BV49" s="324"/>
      <c r="BW49" s="325"/>
      <c r="BX49" s="8"/>
      <c r="BY49" s="8"/>
      <c r="BZ49" s="8"/>
      <c r="CA49" s="8"/>
      <c r="CB49" s="8"/>
      <c r="CC49" s="8"/>
      <c r="CD49" s="8"/>
    </row>
    <row r="50" spans="1:82" s="1" customFormat="1" ht="5.0999999999999996" customHeight="1">
      <c r="A50" s="202"/>
      <c r="B50" s="203"/>
      <c r="C50" s="204"/>
      <c r="D50"/>
      <c r="E50"/>
      <c r="F50"/>
      <c r="G50"/>
      <c r="H50"/>
      <c r="I50"/>
      <c r="J50"/>
      <c r="K50"/>
      <c r="L50" s="8"/>
      <c r="M50" s="8"/>
      <c r="N50" s="8"/>
      <c r="O50" s="149"/>
      <c r="P50" s="150"/>
      <c r="Q50" s="205"/>
      <c r="R50" s="152"/>
      <c r="S50" s="152"/>
      <c r="T50" s="152"/>
      <c r="U50" s="152"/>
      <c r="V50" s="206"/>
      <c r="W50" s="153"/>
      <c r="X50" s="20"/>
      <c r="Y50" s="207"/>
      <c r="Z50" s="208"/>
      <c r="AA50" s="208"/>
      <c r="AB50" s="208"/>
      <c r="AC50" s="208"/>
      <c r="AD50" s="209"/>
      <c r="AE50" s="207"/>
      <c r="AF50" s="208"/>
      <c r="AG50" s="208"/>
      <c r="AH50" s="208"/>
      <c r="AI50" s="210"/>
      <c r="AJ50" s="211"/>
      <c r="AK50" s="207"/>
      <c r="AL50" s="208"/>
      <c r="AM50" s="208"/>
      <c r="AN50" s="208"/>
      <c r="AO50" s="210"/>
      <c r="AP50" s="211"/>
      <c r="AQ50" s="207"/>
      <c r="AR50" s="208"/>
      <c r="AS50" s="208"/>
      <c r="AT50" s="208"/>
      <c r="AU50" s="208"/>
      <c r="AV50" s="209"/>
      <c r="AW50" s="207"/>
      <c r="AX50" s="208"/>
      <c r="AY50" s="208"/>
      <c r="AZ50" s="208"/>
      <c r="BA50" s="208"/>
      <c r="BB50" s="209"/>
      <c r="BC50" s="207"/>
      <c r="BD50" s="208"/>
      <c r="BE50" s="208"/>
      <c r="BF50" s="208"/>
      <c r="BG50" s="208"/>
      <c r="BH50" s="209"/>
      <c r="BI50" s="8"/>
      <c r="BJ50" s="212"/>
      <c r="BK50" s="8"/>
      <c r="BL50" s="207"/>
      <c r="BM50" s="208"/>
      <c r="BN50" s="208"/>
      <c r="BO50" s="208"/>
      <c r="BP50" s="208"/>
      <c r="BQ50" s="209"/>
      <c r="BU50" s="8"/>
      <c r="BV50" s="8"/>
      <c r="BW50" s="8"/>
      <c r="BX50" s="8"/>
      <c r="BY50" s="8"/>
      <c r="BZ50" s="8"/>
      <c r="CA50" s="8"/>
      <c r="CB50" s="8"/>
      <c r="CC50" s="8"/>
      <c r="CD50" s="8"/>
    </row>
    <row r="51" spans="1:82" s="1" customFormat="1" ht="5.0999999999999996" customHeight="1">
      <c r="A51" s="202"/>
      <c r="B51" s="203"/>
      <c r="C51" s="204"/>
      <c r="D51"/>
      <c r="E51"/>
      <c r="F51"/>
      <c r="G51"/>
      <c r="H51"/>
      <c r="I51"/>
      <c r="J51"/>
      <c r="K51"/>
      <c r="L51" s="8"/>
      <c r="M51" s="8"/>
      <c r="N51" s="8"/>
      <c r="O51" s="149"/>
      <c r="P51" s="150"/>
      <c r="Q51" s="205"/>
      <c r="R51" s="152"/>
      <c r="S51" s="152"/>
      <c r="T51" s="152"/>
      <c r="U51" s="152"/>
      <c r="V51" s="206"/>
      <c r="W51" s="153"/>
      <c r="X51" s="20"/>
      <c r="Y51" s="207"/>
      <c r="Z51" s="208"/>
      <c r="AA51" s="208"/>
      <c r="AB51" s="208"/>
      <c r="AC51" s="208"/>
      <c r="AD51" s="209"/>
      <c r="AE51" s="207"/>
      <c r="AF51" s="208"/>
      <c r="AG51" s="208"/>
      <c r="AH51" s="208"/>
      <c r="AI51" s="210"/>
      <c r="AJ51" s="211"/>
      <c r="AK51" s="207"/>
      <c r="AL51" s="208"/>
      <c r="AM51" s="208"/>
      <c r="AN51" s="208"/>
      <c r="AO51" s="210"/>
      <c r="AP51" s="211"/>
      <c r="AQ51" s="207"/>
      <c r="AR51" s="208"/>
      <c r="AS51" s="208"/>
      <c r="AT51" s="208"/>
      <c r="AU51" s="208"/>
      <c r="AV51" s="209"/>
      <c r="AW51" s="207"/>
      <c r="AX51" s="208"/>
      <c r="AY51" s="208"/>
      <c r="AZ51" s="208"/>
      <c r="BA51" s="208"/>
      <c r="BB51" s="209"/>
      <c r="BC51" s="207"/>
      <c r="BD51" s="208"/>
      <c r="BE51" s="208"/>
      <c r="BF51" s="208"/>
      <c r="BG51" s="208"/>
      <c r="BH51" s="209"/>
      <c r="BI51" s="8"/>
      <c r="BJ51" s="212"/>
      <c r="BK51" s="8"/>
      <c r="BL51" s="207"/>
      <c r="BM51" s="208"/>
      <c r="BN51" s="208"/>
      <c r="BO51" s="208"/>
      <c r="BP51" s="208"/>
      <c r="BQ51" s="209"/>
      <c r="BU51" s="8"/>
      <c r="BV51" s="8"/>
      <c r="BW51" s="8"/>
      <c r="BX51" s="8"/>
      <c r="BY51" s="8"/>
      <c r="BZ51" s="8"/>
      <c r="CA51" s="8"/>
      <c r="CB51" s="8"/>
      <c r="CC51" s="8"/>
      <c r="CD51" s="8"/>
    </row>
    <row r="52" spans="1:82" s="1" customFormat="1" ht="15" customHeight="1">
      <c r="A52" s="512" t="s">
        <v>37</v>
      </c>
      <c r="B52" s="513"/>
      <c r="C52" s="513"/>
      <c r="D52" s="513"/>
      <c r="E52" s="513"/>
      <c r="F52" s="513"/>
      <c r="G52" s="513"/>
      <c r="H52" s="513"/>
      <c r="I52" s="516" t="s">
        <v>42</v>
      </c>
      <c r="J52" s="516"/>
      <c r="K52" s="516"/>
      <c r="L52" s="8"/>
      <c r="M52" s="8"/>
      <c r="N52" s="8"/>
      <c r="O52" s="329"/>
      <c r="P52" s="334"/>
      <c r="Q52" s="335">
        <f>IF($W$15="NO",0,($L21*$Q21)/1000000*$Q$45)</f>
        <v>0</v>
      </c>
      <c r="R52" s="336"/>
      <c r="S52" s="336"/>
      <c r="T52" s="336"/>
      <c r="U52" s="336"/>
      <c r="V52" s="337"/>
      <c r="W52" s="341" t="b">
        <f>IF($AE$45="3 CON FRONTALE",(($L21*2+$Q21)+($Q21*1.2+8))/1000*N21,IF(OR($AE$45="4 LATI CON FORI",$AE$45="4 SENZA FORI"),(($L21+$Q21)*2)/1000*N21,IF($AE$45="3 LATI",(($L21*2)+$Q21)/1000*N21)))</f>
        <v>0</v>
      </c>
      <c r="X52" s="20"/>
      <c r="Y52" s="353">
        <f>SUM(O21)</f>
        <v>0</v>
      </c>
      <c r="Z52" s="321"/>
      <c r="AA52" s="321"/>
      <c r="AB52" s="321"/>
      <c r="AC52" s="321"/>
      <c r="AD52" s="322"/>
      <c r="AE52" s="353">
        <f>IF(AM20&gt;0,SUM(AM20),0)</f>
        <v>0</v>
      </c>
      <c r="AF52" s="321"/>
      <c r="AG52" s="321"/>
      <c r="AH52" s="321"/>
      <c r="AI52" s="354">
        <f>$P$21</f>
        <v>0</v>
      </c>
      <c r="AJ52" s="355"/>
      <c r="AK52" s="353">
        <f>IF(AB20&gt;0,SUM(AB20),0)</f>
        <v>0</v>
      </c>
      <c r="AL52" s="321"/>
      <c r="AM52" s="321"/>
      <c r="AN52" s="321"/>
      <c r="AO52" s="354">
        <f>$Q$21</f>
        <v>0</v>
      </c>
      <c r="AP52" s="355"/>
      <c r="AQ52" s="353">
        <f>SUM(AJ21)</f>
        <v>0</v>
      </c>
      <c r="AR52" s="321"/>
      <c r="AS52" s="321"/>
      <c r="AT52" s="321"/>
      <c r="AU52" s="321"/>
      <c r="AV52" s="322"/>
      <c r="AW52" s="320">
        <f t="shared" ref="AW52" si="1">IF(BC52&gt;0,SUM(BC52/Y52),0)</f>
        <v>0</v>
      </c>
      <c r="AX52" s="321"/>
      <c r="AY52" s="321"/>
      <c r="AZ52" s="321"/>
      <c r="BA52" s="321"/>
      <c r="BB52" s="322"/>
      <c r="BC52" s="320">
        <f>IF($Y52&gt;=10,SUM($Q52+$W52+$AQ$46+$AQ$43)*$Y52,IF($Y52&lt;10,SUM(($Q52+$W52+$AQ$46)*1.2+$AQ$43)*$Y52,""))</f>
        <v>0</v>
      </c>
      <c r="BD52" s="321"/>
      <c r="BE52" s="321"/>
      <c r="BF52" s="321"/>
      <c r="BG52" s="321"/>
      <c r="BH52" s="322"/>
      <c r="BI52" s="8"/>
      <c r="BJ52" s="542">
        <f>SUM(BL52*2)</f>
        <v>0</v>
      </c>
      <c r="BK52" s="8"/>
      <c r="BL52" s="320">
        <f>IF(BC52&gt;0,SUM(BR52/Y52),0)</f>
        <v>0</v>
      </c>
      <c r="BM52" s="321"/>
      <c r="BN52" s="321"/>
      <c r="BO52" s="321"/>
      <c r="BP52" s="321"/>
      <c r="BQ52" s="322"/>
      <c r="BR52" s="320">
        <f>IF($Y52&gt;=10,SUM($Q52+$W52+$AQ$46+$AQ$43+Foglio1!$T$112)*$Y52,IF($Y52&lt;10,SUM(($Q52+$W52+$AQ$46)*1.2+$AQ$43+Foglio1!$T$112)*$Y52,""))</f>
        <v>0</v>
      </c>
      <c r="BS52" s="321"/>
      <c r="BT52" s="321"/>
      <c r="BU52" s="321"/>
      <c r="BV52" s="321"/>
      <c r="BW52" s="322"/>
      <c r="BX52" s="8"/>
      <c r="BY52" s="8"/>
      <c r="BZ52" s="8"/>
      <c r="CA52" s="8"/>
      <c r="CB52" s="8"/>
      <c r="CC52" s="8"/>
      <c r="CD52" s="8"/>
    </row>
    <row r="53" spans="1:82" s="1" customFormat="1" ht="15" customHeight="1">
      <c r="A53" s="517" t="s">
        <v>38</v>
      </c>
      <c r="B53" s="518"/>
      <c r="C53" s="518"/>
      <c r="D53" s="518"/>
      <c r="E53" s="518"/>
      <c r="F53" s="518"/>
      <c r="G53" s="518"/>
      <c r="H53" s="518"/>
      <c r="I53" s="516" t="s">
        <v>117</v>
      </c>
      <c r="J53" s="516"/>
      <c r="K53" s="516"/>
      <c r="L53" s="8"/>
      <c r="M53" s="8"/>
      <c r="N53" s="8"/>
      <c r="O53" s="329"/>
      <c r="P53" s="334"/>
      <c r="Q53" s="338"/>
      <c r="R53" s="339"/>
      <c r="S53" s="339"/>
      <c r="T53" s="339"/>
      <c r="U53" s="339"/>
      <c r="V53" s="340"/>
      <c r="W53" s="342"/>
      <c r="X53" s="20"/>
      <c r="Y53" s="323"/>
      <c r="Z53" s="324"/>
      <c r="AA53" s="324"/>
      <c r="AB53" s="324"/>
      <c r="AC53" s="324"/>
      <c r="AD53" s="325"/>
      <c r="AE53" s="323"/>
      <c r="AF53" s="324"/>
      <c r="AG53" s="324"/>
      <c r="AH53" s="324"/>
      <c r="AI53" s="23"/>
      <c r="AJ53" s="24"/>
      <c r="AK53" s="323"/>
      <c r="AL53" s="324"/>
      <c r="AM53" s="324"/>
      <c r="AN53" s="324"/>
      <c r="AO53" s="23"/>
      <c r="AP53" s="24"/>
      <c r="AQ53" s="323"/>
      <c r="AR53" s="324"/>
      <c r="AS53" s="324"/>
      <c r="AT53" s="324"/>
      <c r="AU53" s="324"/>
      <c r="AV53" s="325"/>
      <c r="AW53" s="323"/>
      <c r="AX53" s="324"/>
      <c r="AY53" s="324"/>
      <c r="AZ53" s="324"/>
      <c r="BA53" s="324"/>
      <c r="BB53" s="325"/>
      <c r="BC53" s="323"/>
      <c r="BD53" s="324"/>
      <c r="BE53" s="324"/>
      <c r="BF53" s="324"/>
      <c r="BG53" s="324"/>
      <c r="BH53" s="325"/>
      <c r="BI53" s="8"/>
      <c r="BJ53" s="543"/>
      <c r="BK53" s="8"/>
      <c r="BL53" s="323"/>
      <c r="BM53" s="324"/>
      <c r="BN53" s="324"/>
      <c r="BO53" s="324"/>
      <c r="BP53" s="324"/>
      <c r="BQ53" s="325"/>
      <c r="BR53" s="323"/>
      <c r="BS53" s="324"/>
      <c r="BT53" s="324"/>
      <c r="BU53" s="324"/>
      <c r="BV53" s="324"/>
      <c r="BW53" s="325"/>
      <c r="BX53" s="8"/>
      <c r="BY53" s="8"/>
      <c r="BZ53" s="8"/>
      <c r="CA53" s="8"/>
      <c r="CB53" s="8"/>
      <c r="CC53" s="8"/>
      <c r="CD53" s="8"/>
    </row>
    <row r="54" spans="1:82" s="1" customFormat="1" ht="5.0999999999999996" customHeight="1">
      <c r="A54" s="213"/>
      <c r="B54" s="213"/>
      <c r="C54" s="213"/>
      <c r="D54" s="213"/>
      <c r="E54" s="213"/>
      <c r="F54" s="213"/>
      <c r="G54" s="213"/>
      <c r="H54" s="213"/>
      <c r="I54" s="192"/>
      <c r="J54" s="192"/>
      <c r="K54" s="192"/>
      <c r="L54" s="8"/>
      <c r="M54" s="8"/>
      <c r="N54" s="8"/>
      <c r="O54" s="149"/>
      <c r="P54" s="150"/>
      <c r="Q54" s="205"/>
      <c r="R54" s="152"/>
      <c r="S54" s="152"/>
      <c r="T54" s="152"/>
      <c r="U54" s="152"/>
      <c r="V54" s="206"/>
      <c r="W54" s="153"/>
      <c r="X54" s="20"/>
      <c r="Y54" s="207"/>
      <c r="Z54" s="208"/>
      <c r="AA54" s="208"/>
      <c r="AB54" s="208"/>
      <c r="AC54" s="208"/>
      <c r="AD54" s="209"/>
      <c r="AE54" s="207"/>
      <c r="AF54" s="208"/>
      <c r="AG54" s="208"/>
      <c r="AH54" s="208"/>
      <c r="AI54" s="210"/>
      <c r="AJ54" s="211"/>
      <c r="AK54" s="207"/>
      <c r="AL54" s="208"/>
      <c r="AM54" s="208"/>
      <c r="AN54" s="208"/>
      <c r="AO54" s="210"/>
      <c r="AP54" s="211"/>
      <c r="AQ54" s="207"/>
      <c r="AR54" s="208"/>
      <c r="AS54" s="208"/>
      <c r="AT54" s="208"/>
      <c r="AU54" s="208"/>
      <c r="AV54" s="209"/>
      <c r="AW54" s="207"/>
      <c r="AX54" s="208"/>
      <c r="AY54" s="208"/>
      <c r="AZ54" s="208"/>
      <c r="BA54" s="208"/>
      <c r="BB54" s="209"/>
      <c r="BC54" s="207"/>
      <c r="BD54" s="208"/>
      <c r="BE54" s="208"/>
      <c r="BF54" s="208"/>
      <c r="BG54" s="208"/>
      <c r="BH54" s="209"/>
      <c r="BI54" s="8"/>
      <c r="BJ54" s="212"/>
      <c r="BK54" s="8"/>
      <c r="BL54" s="207"/>
      <c r="BM54" s="208"/>
      <c r="BN54" s="208"/>
      <c r="BO54" s="208"/>
      <c r="BP54" s="208"/>
      <c r="BQ54" s="209"/>
      <c r="BU54" s="8"/>
      <c r="BV54" s="8"/>
      <c r="BW54" s="8"/>
      <c r="BX54" s="8"/>
      <c r="BY54" s="8"/>
      <c r="BZ54" s="8"/>
      <c r="CA54" s="8"/>
      <c r="CB54" s="8"/>
      <c r="CC54" s="8"/>
      <c r="CD54" s="8"/>
    </row>
    <row r="55" spans="1:82" s="1" customFormat="1" ht="5.0999999999999996" customHeight="1">
      <c r="A55" s="213"/>
      <c r="B55" s="213"/>
      <c r="C55" s="213"/>
      <c r="D55" s="213"/>
      <c r="E55" s="213"/>
      <c r="F55" s="213"/>
      <c r="G55" s="213"/>
      <c r="H55" s="213"/>
      <c r="I55" s="192"/>
      <c r="J55" s="192"/>
      <c r="K55" s="192"/>
      <c r="L55" s="8"/>
      <c r="M55" s="8"/>
      <c r="N55" s="8"/>
      <c r="O55" s="149"/>
      <c r="P55" s="150"/>
      <c r="Q55" s="205"/>
      <c r="R55" s="152"/>
      <c r="S55" s="152"/>
      <c r="T55" s="152"/>
      <c r="U55" s="152"/>
      <c r="V55" s="206"/>
      <c r="W55" s="153"/>
      <c r="X55" s="20"/>
      <c r="Y55" s="207"/>
      <c r="Z55" s="208"/>
      <c r="AA55" s="208"/>
      <c r="AB55" s="208"/>
      <c r="AC55" s="208"/>
      <c r="AD55" s="209"/>
      <c r="AE55" s="207"/>
      <c r="AF55" s="208"/>
      <c r="AG55" s="208"/>
      <c r="AH55" s="208"/>
      <c r="AI55" s="210"/>
      <c r="AJ55" s="211"/>
      <c r="AK55" s="207"/>
      <c r="AL55" s="208"/>
      <c r="AM55" s="208"/>
      <c r="AN55" s="208"/>
      <c r="AO55" s="210"/>
      <c r="AP55" s="211"/>
      <c r="AQ55" s="207"/>
      <c r="AR55" s="208"/>
      <c r="AS55" s="208"/>
      <c r="AT55" s="208"/>
      <c r="AU55" s="208"/>
      <c r="AV55" s="209"/>
      <c r="AW55" s="207"/>
      <c r="AX55" s="208"/>
      <c r="AY55" s="208"/>
      <c r="AZ55" s="208"/>
      <c r="BA55" s="208"/>
      <c r="BB55" s="209"/>
      <c r="BC55" s="207"/>
      <c r="BD55" s="208"/>
      <c r="BE55" s="208"/>
      <c r="BF55" s="208"/>
      <c r="BG55" s="208"/>
      <c r="BH55" s="209"/>
      <c r="BI55" s="8"/>
      <c r="BJ55" s="212"/>
      <c r="BK55" s="8"/>
      <c r="BL55" s="207"/>
      <c r="BM55" s="208"/>
      <c r="BN55" s="208"/>
      <c r="BO55" s="208"/>
      <c r="BP55" s="208"/>
      <c r="BQ55" s="209"/>
      <c r="BU55" s="8"/>
      <c r="BV55" s="8"/>
      <c r="BW55" s="8"/>
      <c r="BX55" s="8"/>
      <c r="BY55" s="8"/>
      <c r="BZ55" s="8"/>
      <c r="CA55" s="8"/>
      <c r="CB55" s="8"/>
      <c r="CC55" s="8"/>
      <c r="CD55" s="8"/>
    </row>
    <row r="56" spans="1:82" ht="15" customHeight="1">
      <c r="A56" s="502" t="s">
        <v>32</v>
      </c>
      <c r="B56" s="503"/>
      <c r="C56" s="503"/>
      <c r="D56" s="503"/>
      <c r="E56" s="145" t="s">
        <v>129</v>
      </c>
      <c r="F56" s="145"/>
      <c r="G56" s="145"/>
      <c r="H56" s="194"/>
      <c r="I56" s="194"/>
      <c r="J56" s="526">
        <v>0.94</v>
      </c>
      <c r="K56" s="527"/>
      <c r="L56" s="6"/>
      <c r="M56" s="6"/>
      <c r="N56" s="6"/>
      <c r="O56" s="329"/>
      <c r="P56" s="334"/>
      <c r="Q56" s="335">
        <f>IF($W$15="NO",0,($L25*$Q25)/1000000*$Q$45)</f>
        <v>0</v>
      </c>
      <c r="R56" s="336"/>
      <c r="S56" s="336"/>
      <c r="T56" s="336"/>
      <c r="U56" s="336"/>
      <c r="V56" s="337"/>
      <c r="W56" s="341" t="b">
        <f>IF($AE$45="3 CON FRONTALE",(($L25*2+$Q25)+($Q25*1.2+8))/1000*N25,IF(OR($AE$45="4 LATI CON FORI",$AE$45="4 SENZA FORI"),(($L25+$Q25)*2)/1000*N25,IF($AE$45="3 LATI",(($L25*2)+$Q25)/1000*N25)))</f>
        <v>0</v>
      </c>
      <c r="X56" s="20"/>
      <c r="Y56" s="353">
        <f>SUM(O25)</f>
        <v>0</v>
      </c>
      <c r="Z56" s="321"/>
      <c r="AA56" s="321"/>
      <c r="AB56" s="321"/>
      <c r="AC56" s="321"/>
      <c r="AD56" s="322"/>
      <c r="AE56" s="353">
        <f>IF(AM24&gt;0,SUM(AM24),0)</f>
        <v>0</v>
      </c>
      <c r="AF56" s="321"/>
      <c r="AG56" s="321"/>
      <c r="AH56" s="321"/>
      <c r="AI56" s="354">
        <f>$P$25</f>
        <v>0</v>
      </c>
      <c r="AJ56" s="355"/>
      <c r="AK56" s="353">
        <f>IF(AB24&gt;0,SUM(AB24),0)</f>
        <v>0</v>
      </c>
      <c r="AL56" s="321"/>
      <c r="AM56" s="321"/>
      <c r="AN56" s="321"/>
      <c r="AO56" s="354">
        <f>$Q$25</f>
        <v>0</v>
      </c>
      <c r="AP56" s="355"/>
      <c r="AQ56" s="353">
        <f>SUM(AJ25)</f>
        <v>0</v>
      </c>
      <c r="AR56" s="321"/>
      <c r="AS56" s="321"/>
      <c r="AT56" s="321"/>
      <c r="AU56" s="321"/>
      <c r="AV56" s="322"/>
      <c r="AW56" s="320">
        <f t="shared" ref="AW56" si="2">IF(BC56&gt;0,SUM(BC56/Y56),0)</f>
        <v>0</v>
      </c>
      <c r="AX56" s="321"/>
      <c r="AY56" s="321"/>
      <c r="AZ56" s="321"/>
      <c r="BA56" s="321"/>
      <c r="BB56" s="322"/>
      <c r="BC56" s="320">
        <f>IF($Y56&gt;=10,SUM($Q56+$W56+$AQ$46+$AQ$43)*$Y56,IF($Y56&lt;10,SUM(($Q56+$W56+$AQ$46)*1.2+$AQ$43)*$Y56,""))</f>
        <v>0</v>
      </c>
      <c r="BD56" s="321"/>
      <c r="BE56" s="321"/>
      <c r="BF56" s="321"/>
      <c r="BG56" s="321"/>
      <c r="BH56" s="322"/>
      <c r="BI56" s="6"/>
      <c r="BJ56" s="542">
        <f>SUM(BL56*2)</f>
        <v>0</v>
      </c>
      <c r="BK56" s="6"/>
      <c r="BL56" s="320">
        <f>IF(BC56&gt;0,SUM(BR56/Y56),0)</f>
        <v>0</v>
      </c>
      <c r="BM56" s="321"/>
      <c r="BN56" s="321"/>
      <c r="BO56" s="321"/>
      <c r="BP56" s="321"/>
      <c r="BQ56" s="322"/>
      <c r="BR56" s="320">
        <f>IF($Y56&gt;=10,SUM($Q56+$W56+$AQ$46+$AQ$43+Foglio1!$T$114)*$Y56,IF($Y56&lt;10,SUM(($Q56+$W56+$AQ$46)*1.2+$AQ$43+Foglio1!$T$114)*$Y56,""))</f>
        <v>0</v>
      </c>
      <c r="BS56" s="321"/>
      <c r="BT56" s="321"/>
      <c r="BU56" s="321"/>
      <c r="BV56" s="321"/>
      <c r="BW56" s="322"/>
      <c r="BX56" s="6"/>
      <c r="BY56" s="6"/>
      <c r="BZ56" s="6"/>
      <c r="CA56" s="6"/>
      <c r="CB56" s="6"/>
      <c r="CC56" s="6"/>
      <c r="CD56" s="6"/>
    </row>
    <row r="57" spans="1:82" s="1" customFormat="1" ht="15" customHeight="1">
      <c r="A57" s="504"/>
      <c r="B57" s="505"/>
      <c r="C57" s="505"/>
      <c r="D57" s="505"/>
      <c r="E57" s="146" t="s">
        <v>130</v>
      </c>
      <c r="F57" s="146"/>
      <c r="G57" s="146"/>
      <c r="H57" s="195"/>
      <c r="I57" s="195"/>
      <c r="J57" s="500">
        <v>31.5</v>
      </c>
      <c r="K57" s="501"/>
      <c r="L57" s="8"/>
      <c r="M57" s="8"/>
      <c r="N57" s="8"/>
      <c r="O57" s="329"/>
      <c r="P57" s="334"/>
      <c r="Q57" s="338"/>
      <c r="R57" s="339"/>
      <c r="S57" s="339"/>
      <c r="T57" s="339"/>
      <c r="U57" s="339"/>
      <c r="V57" s="340"/>
      <c r="W57" s="342"/>
      <c r="X57" s="20"/>
      <c r="Y57" s="323"/>
      <c r="Z57" s="324"/>
      <c r="AA57" s="324"/>
      <c r="AB57" s="324"/>
      <c r="AC57" s="324"/>
      <c r="AD57" s="325"/>
      <c r="AE57" s="323"/>
      <c r="AF57" s="324"/>
      <c r="AG57" s="324"/>
      <c r="AH57" s="324"/>
      <c r="AI57" s="23"/>
      <c r="AJ57" s="24"/>
      <c r="AK57" s="323"/>
      <c r="AL57" s="324"/>
      <c r="AM57" s="324"/>
      <c r="AN57" s="324"/>
      <c r="AO57" s="23"/>
      <c r="AP57" s="24"/>
      <c r="AQ57" s="323"/>
      <c r="AR57" s="324"/>
      <c r="AS57" s="324"/>
      <c r="AT57" s="324"/>
      <c r="AU57" s="324"/>
      <c r="AV57" s="325"/>
      <c r="AW57" s="323"/>
      <c r="AX57" s="324"/>
      <c r="AY57" s="324"/>
      <c r="AZ57" s="324"/>
      <c r="BA57" s="324"/>
      <c r="BB57" s="325"/>
      <c r="BC57" s="323"/>
      <c r="BD57" s="324"/>
      <c r="BE57" s="324"/>
      <c r="BF57" s="324"/>
      <c r="BG57" s="324"/>
      <c r="BH57" s="325"/>
      <c r="BI57" s="8"/>
      <c r="BJ57" s="543"/>
      <c r="BK57" s="8"/>
      <c r="BL57" s="323"/>
      <c r="BM57" s="324"/>
      <c r="BN57" s="324"/>
      <c r="BO57" s="324"/>
      <c r="BP57" s="324"/>
      <c r="BQ57" s="325"/>
      <c r="BR57" s="323"/>
      <c r="BS57" s="324"/>
      <c r="BT57" s="324"/>
      <c r="BU57" s="324"/>
      <c r="BV57" s="324"/>
      <c r="BW57" s="325"/>
      <c r="BX57" s="8"/>
      <c r="BY57" s="8"/>
      <c r="BZ57" s="8"/>
      <c r="CA57" s="8"/>
      <c r="CB57" s="8"/>
      <c r="CC57" s="8"/>
      <c r="CD57" s="8"/>
    </row>
    <row r="58" spans="1:82" s="1" customFormat="1" ht="5.0999999999999996" customHeight="1">
      <c r="A58" s="193"/>
      <c r="B58" s="193"/>
      <c r="C58" s="193"/>
      <c r="D58" s="193"/>
      <c r="E58" s="133"/>
      <c r="F58" s="133"/>
      <c r="G58" s="133"/>
      <c r="H58"/>
      <c r="I58"/>
      <c r="J58" s="214"/>
      <c r="K58" s="214"/>
      <c r="L58" s="8"/>
      <c r="M58" s="8"/>
      <c r="N58" s="8"/>
      <c r="O58" s="149"/>
      <c r="P58" s="150"/>
      <c r="Q58" s="205"/>
      <c r="R58" s="152"/>
      <c r="S58" s="152"/>
      <c r="T58" s="152"/>
      <c r="U58" s="152"/>
      <c r="V58" s="206"/>
      <c r="W58" s="153"/>
      <c r="X58" s="20"/>
      <c r="Y58" s="207"/>
      <c r="Z58" s="208"/>
      <c r="AA58" s="208"/>
      <c r="AB58" s="208"/>
      <c r="AC58" s="208"/>
      <c r="AD58" s="209"/>
      <c r="AE58" s="207"/>
      <c r="AF58" s="208"/>
      <c r="AG58" s="208"/>
      <c r="AH58" s="208"/>
      <c r="AI58" s="210"/>
      <c r="AJ58" s="211"/>
      <c r="AK58" s="207"/>
      <c r="AL58" s="208"/>
      <c r="AM58" s="208"/>
      <c r="AN58" s="208"/>
      <c r="AO58" s="210"/>
      <c r="AP58" s="211"/>
      <c r="AQ58" s="207"/>
      <c r="AR58" s="208"/>
      <c r="AS58" s="208"/>
      <c r="AT58" s="208"/>
      <c r="AU58" s="208"/>
      <c r="AV58" s="209"/>
      <c r="AW58" s="207"/>
      <c r="AX58" s="208"/>
      <c r="AY58" s="208"/>
      <c r="AZ58" s="208"/>
      <c r="BA58" s="208"/>
      <c r="BB58" s="209"/>
      <c r="BC58" s="207"/>
      <c r="BD58" s="208"/>
      <c r="BE58" s="208"/>
      <c r="BF58" s="208"/>
      <c r="BG58" s="208"/>
      <c r="BH58" s="209"/>
      <c r="BI58" s="8"/>
      <c r="BJ58" s="212"/>
      <c r="BK58" s="8"/>
      <c r="BL58" s="207"/>
      <c r="BM58" s="208"/>
      <c r="BN58" s="208"/>
      <c r="BO58" s="208"/>
      <c r="BP58" s="208"/>
      <c r="BQ58" s="209"/>
      <c r="BU58" s="8"/>
      <c r="BV58" s="8"/>
      <c r="BW58" s="8"/>
      <c r="BX58" s="8"/>
      <c r="BY58" s="8"/>
      <c r="BZ58" s="8"/>
      <c r="CA58" s="8"/>
      <c r="CB58" s="8"/>
      <c r="CC58" s="8"/>
      <c r="CD58" s="8"/>
    </row>
    <row r="59" spans="1:82" s="1" customFormat="1" ht="5.0999999999999996" customHeight="1">
      <c r="A59" s="193"/>
      <c r="B59" s="193"/>
      <c r="C59" s="193"/>
      <c r="D59" s="193"/>
      <c r="E59" s="133"/>
      <c r="F59" s="133"/>
      <c r="G59" s="133"/>
      <c r="H59"/>
      <c r="I59"/>
      <c r="J59" s="214"/>
      <c r="K59" s="214"/>
      <c r="L59" s="8"/>
      <c r="M59" s="8"/>
      <c r="N59" s="8"/>
      <c r="O59" s="149"/>
      <c r="P59" s="150"/>
      <c r="Q59" s="205"/>
      <c r="R59" s="152"/>
      <c r="S59" s="152"/>
      <c r="T59" s="152"/>
      <c r="U59" s="152"/>
      <c r="V59" s="206"/>
      <c r="W59" s="153"/>
      <c r="X59" s="20"/>
      <c r="Y59" s="207"/>
      <c r="Z59" s="208"/>
      <c r="AA59" s="208"/>
      <c r="AB59" s="208"/>
      <c r="AC59" s="208"/>
      <c r="AD59" s="209"/>
      <c r="AE59" s="207"/>
      <c r="AF59" s="208"/>
      <c r="AG59" s="208"/>
      <c r="AH59" s="208"/>
      <c r="AI59" s="210"/>
      <c r="AJ59" s="211"/>
      <c r="AK59" s="207"/>
      <c r="AL59" s="208"/>
      <c r="AM59" s="208"/>
      <c r="AN59" s="208"/>
      <c r="AO59" s="210"/>
      <c r="AP59" s="211"/>
      <c r="AQ59" s="207"/>
      <c r="AR59" s="208"/>
      <c r="AS59" s="208"/>
      <c r="AT59" s="208"/>
      <c r="AU59" s="208"/>
      <c r="AV59" s="209"/>
      <c r="AW59" s="207"/>
      <c r="AX59" s="208"/>
      <c r="AY59" s="208"/>
      <c r="AZ59" s="208"/>
      <c r="BA59" s="208"/>
      <c r="BB59" s="209"/>
      <c r="BC59" s="207"/>
      <c r="BD59" s="208"/>
      <c r="BE59" s="208"/>
      <c r="BF59" s="208"/>
      <c r="BG59" s="208"/>
      <c r="BH59" s="209"/>
      <c r="BI59" s="8"/>
      <c r="BJ59" s="212"/>
      <c r="BK59" s="8"/>
      <c r="BL59" s="207"/>
      <c r="BM59" s="208"/>
      <c r="BN59" s="208"/>
      <c r="BO59" s="208"/>
      <c r="BP59" s="208"/>
      <c r="BQ59" s="209"/>
      <c r="BU59" s="8"/>
      <c r="BV59" s="8"/>
      <c r="BW59" s="8"/>
      <c r="BX59" s="8"/>
      <c r="BY59" s="8"/>
      <c r="BZ59" s="8"/>
      <c r="CA59" s="8"/>
      <c r="CB59" s="8"/>
      <c r="CC59" s="8"/>
      <c r="CD59" s="8"/>
    </row>
    <row r="60" spans="1:82" s="1" customFormat="1" ht="18" customHeight="1">
      <c r="A60"/>
      <c r="B60"/>
      <c r="C60"/>
      <c r="D60"/>
      <c r="E60"/>
      <c r="F60"/>
      <c r="G60"/>
      <c r="H60"/>
      <c r="I60"/>
      <c r="J60"/>
      <c r="K60"/>
      <c r="L60" s="8"/>
      <c r="M60" s="8"/>
      <c r="N60" s="8"/>
      <c r="O60" s="329"/>
      <c r="P60" s="334"/>
      <c r="Q60" s="335">
        <f>IF($W$15="NO",0,($L29*$Q29)/1000000*$Q$45)</f>
        <v>0</v>
      </c>
      <c r="R60" s="336"/>
      <c r="S60" s="336"/>
      <c r="T60" s="336"/>
      <c r="U60" s="336"/>
      <c r="V60" s="337"/>
      <c r="W60" s="341" t="b">
        <f>IF($AE$45="3 CON FRONTALE",(($L29*2+$Q29)+($Q29*1.2+8))/1000*N29,IF(OR($AE$45="4 LATI CON FORI",$AE$45="4 SENZA FORI"),(($L29+$Q29)*2)/1000*N29,IF($AE$45="3 LATI",(($L29*2)+$Q29)/1000*N29)))</f>
        <v>0</v>
      </c>
      <c r="X60" s="20"/>
      <c r="Y60" s="353">
        <f>SUM(O29)</f>
        <v>0</v>
      </c>
      <c r="Z60" s="321"/>
      <c r="AA60" s="321"/>
      <c r="AB60" s="321"/>
      <c r="AC60" s="321"/>
      <c r="AD60" s="322"/>
      <c r="AE60" s="353">
        <f>IF(AM28&gt;0,SUM(AM28),0)</f>
        <v>0</v>
      </c>
      <c r="AF60" s="321"/>
      <c r="AG60" s="321"/>
      <c r="AH60" s="321"/>
      <c r="AI60" s="354">
        <f>$P$29</f>
        <v>0</v>
      </c>
      <c r="AJ60" s="355"/>
      <c r="AK60" s="353">
        <f>IF(AB28&gt;0,SUM(AB28),0)</f>
        <v>0</v>
      </c>
      <c r="AL60" s="321"/>
      <c r="AM60" s="321"/>
      <c r="AN60" s="321"/>
      <c r="AO60" s="354">
        <f>$Q$29</f>
        <v>0</v>
      </c>
      <c r="AP60" s="355"/>
      <c r="AQ60" s="353">
        <f>SUM(AJ29)</f>
        <v>0</v>
      </c>
      <c r="AR60" s="321"/>
      <c r="AS60" s="321"/>
      <c r="AT60" s="321"/>
      <c r="AU60" s="321"/>
      <c r="AV60" s="322"/>
      <c r="AW60" s="320">
        <f t="shared" ref="AW60" si="3">IF(BC60&gt;0,SUM(BC60/Y60),0)</f>
        <v>0</v>
      </c>
      <c r="AX60" s="321"/>
      <c r="AY60" s="321"/>
      <c r="AZ60" s="321"/>
      <c r="BA60" s="321"/>
      <c r="BB60" s="322"/>
      <c r="BC60" s="320">
        <f>IF($Y60&gt;=10,SUM($Q60+$W60+$AQ$46+$AQ$43)*$Y60,IF($Y60&lt;10,SUM(($Q60+$W60+$AQ$46)*1.2+$AQ$43)*$Y60,""))</f>
        <v>0</v>
      </c>
      <c r="BD60" s="321"/>
      <c r="BE60" s="321"/>
      <c r="BF60" s="321"/>
      <c r="BG60" s="321"/>
      <c r="BH60" s="322"/>
      <c r="BI60" s="8"/>
      <c r="BJ60" s="542">
        <f>SUM(BL60*2)</f>
        <v>0</v>
      </c>
      <c r="BK60" s="8"/>
      <c r="BL60" s="320">
        <f>IF(BC60&gt;0,SUM(BR60/Y60),0)</f>
        <v>0</v>
      </c>
      <c r="BM60" s="321"/>
      <c r="BN60" s="321"/>
      <c r="BO60" s="321"/>
      <c r="BP60" s="321"/>
      <c r="BQ60" s="322"/>
      <c r="BR60" s="320">
        <f>IF($Y60&gt;=10,SUM($Q60+$W60+$AQ$46+$AQ$43+Foglio1!$T$116)*$Y60,IF($Y60&lt;10,SUM(($Q60+$W60+$AQ$46)*1.2+$AQ$43+Foglio1!$T$116)*$Y60,""))</f>
        <v>0</v>
      </c>
      <c r="BS60" s="321"/>
      <c r="BT60" s="321"/>
      <c r="BU60" s="321"/>
      <c r="BV60" s="321"/>
      <c r="BW60" s="322"/>
      <c r="BX60" s="8"/>
      <c r="BY60" s="8"/>
      <c r="BZ60" s="8"/>
      <c r="CA60" s="8"/>
      <c r="CB60" s="8"/>
      <c r="CC60" s="8"/>
      <c r="CD60" s="8"/>
    </row>
    <row r="61" spans="1:82" s="1" customFormat="1" ht="18" customHeight="1" thickBot="1">
      <c r="A61"/>
      <c r="B61"/>
      <c r="C61"/>
      <c r="D61"/>
      <c r="E61"/>
      <c r="F61"/>
      <c r="G61"/>
      <c r="H61"/>
      <c r="I61"/>
      <c r="J61"/>
      <c r="K61"/>
      <c r="L61" s="8"/>
      <c r="M61" s="8"/>
      <c r="N61" s="8"/>
      <c r="O61" s="329"/>
      <c r="P61" s="334"/>
      <c r="Q61" s="338"/>
      <c r="R61" s="339"/>
      <c r="S61" s="339"/>
      <c r="T61" s="339"/>
      <c r="U61" s="339"/>
      <c r="V61" s="340"/>
      <c r="W61" s="342"/>
      <c r="X61" s="20"/>
      <c r="Y61" s="323"/>
      <c r="Z61" s="324"/>
      <c r="AA61" s="324"/>
      <c r="AB61" s="324"/>
      <c r="AC61" s="324"/>
      <c r="AD61" s="325"/>
      <c r="AE61" s="323"/>
      <c r="AF61" s="324"/>
      <c r="AG61" s="324"/>
      <c r="AH61" s="324"/>
      <c r="AI61" s="23"/>
      <c r="AJ61" s="24"/>
      <c r="AK61" s="323"/>
      <c r="AL61" s="324"/>
      <c r="AM61" s="324"/>
      <c r="AN61" s="324"/>
      <c r="AO61" s="23"/>
      <c r="AP61" s="24"/>
      <c r="AQ61" s="323"/>
      <c r="AR61" s="324"/>
      <c r="AS61" s="324"/>
      <c r="AT61" s="324"/>
      <c r="AU61" s="324"/>
      <c r="AV61" s="325"/>
      <c r="AW61" s="323"/>
      <c r="AX61" s="324"/>
      <c r="AY61" s="324"/>
      <c r="AZ61" s="324"/>
      <c r="BA61" s="324"/>
      <c r="BB61" s="325"/>
      <c r="BC61" s="323"/>
      <c r="BD61" s="324"/>
      <c r="BE61" s="324"/>
      <c r="BF61" s="324"/>
      <c r="BG61" s="324"/>
      <c r="BH61" s="325"/>
      <c r="BI61" s="8"/>
      <c r="BJ61" s="543"/>
      <c r="BK61" s="8"/>
      <c r="BL61" s="323"/>
      <c r="BM61" s="324"/>
      <c r="BN61" s="324"/>
      <c r="BO61" s="324"/>
      <c r="BP61" s="324"/>
      <c r="BQ61" s="325"/>
      <c r="BR61" s="323"/>
      <c r="BS61" s="324"/>
      <c r="BT61" s="324"/>
      <c r="BU61" s="324"/>
      <c r="BV61" s="324"/>
      <c r="BW61" s="325"/>
      <c r="BX61" s="8"/>
      <c r="BY61" s="8"/>
      <c r="BZ61" s="8"/>
      <c r="CA61" s="8"/>
      <c r="CB61" s="8"/>
      <c r="CC61" s="8"/>
      <c r="CD61" s="8"/>
    </row>
    <row r="62" spans="1:82" ht="15" customHeight="1"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4"/>
      <c r="Y62" s="358" t="str">
        <f>IF($P$13="NO","NO FORI"," ")</f>
        <v xml:space="preserve"> </v>
      </c>
      <c r="Z62" s="358"/>
      <c r="AA62" s="358"/>
      <c r="AB62" s="358"/>
      <c r="AC62" s="358"/>
      <c r="AD62" s="358"/>
      <c r="AE62" s="358"/>
      <c r="AF62" s="358"/>
      <c r="AG62" s="86"/>
      <c r="AH62" s="86"/>
      <c r="AI62" s="21"/>
      <c r="AJ62" s="358" t="str">
        <f>IF($P$15="NO","SMONTATI"," ")</f>
        <v xml:space="preserve"> </v>
      </c>
      <c r="AK62" s="358"/>
      <c r="AL62" s="358"/>
      <c r="AM62" s="358"/>
      <c r="AN62" s="358"/>
      <c r="AO62" s="358"/>
      <c r="AP62" s="87"/>
      <c r="AQ62" s="87"/>
      <c r="AR62" s="87"/>
      <c r="AS62" s="87"/>
      <c r="AT62" s="359" t="str">
        <f>IF($W$15="SFILABILE DAVANTI","FONDO SFILABILE DAVANTI",IF($W$15="NO","NON DARE IL FONDO",IF(ISNUMBER(FIND("GREZZO",$Q$11)),"FONDO SFILABILE DIETRO",IF($W$15="SFILABILE DIETRO","FONDO SFILABILE DIETRO"," "))))</f>
        <v xml:space="preserve"> </v>
      </c>
      <c r="AU62" s="359"/>
      <c r="AV62" s="359"/>
      <c r="AW62" s="359"/>
      <c r="AX62" s="359"/>
      <c r="AY62" s="359"/>
      <c r="AZ62" s="359"/>
      <c r="BA62" s="359"/>
      <c r="BB62" s="359"/>
      <c r="BC62" s="359"/>
      <c r="BD62" s="359"/>
      <c r="BE62" s="359"/>
      <c r="BF62" s="359"/>
      <c r="BG62" s="359"/>
      <c r="BH62" s="359"/>
      <c r="BI62" s="6"/>
      <c r="BJ62" s="6"/>
      <c r="BK62" s="6"/>
      <c r="BL62" s="6"/>
      <c r="BM62" s="6"/>
      <c r="BN62" s="6"/>
      <c r="BO62" s="6"/>
      <c r="BP62" s="6"/>
      <c r="BQ62" s="6"/>
      <c r="BR62" s="1"/>
      <c r="BS62" s="1"/>
      <c r="BT62" s="1"/>
      <c r="BU62" s="8"/>
      <c r="BV62" s="8"/>
      <c r="BW62" s="8"/>
      <c r="BX62" s="6"/>
      <c r="BY62" s="6"/>
      <c r="BZ62" s="6"/>
      <c r="CA62" s="6"/>
      <c r="CB62" s="6"/>
      <c r="CC62" s="6"/>
      <c r="CD62" s="6"/>
    </row>
    <row r="63" spans="1:82" s="1" customFormat="1" ht="18" customHeight="1">
      <c r="A63"/>
      <c r="B63"/>
      <c r="C63"/>
      <c r="D63"/>
      <c r="E63"/>
      <c r="F63"/>
      <c r="G63"/>
      <c r="H63"/>
      <c r="I63"/>
      <c r="J63"/>
      <c r="K63"/>
      <c r="L63" s="8"/>
      <c r="M63" s="8"/>
      <c r="N63" s="8"/>
      <c r="O63" s="8"/>
      <c r="P63" s="8"/>
      <c r="Q63" s="343"/>
      <c r="R63" s="343"/>
      <c r="S63" s="343"/>
      <c r="T63" s="343"/>
      <c r="U63" s="343"/>
      <c r="V63" s="343"/>
      <c r="W63" s="8"/>
      <c r="X63"/>
      <c r="Y63" s="360" t="s">
        <v>21</v>
      </c>
      <c r="Z63" s="360"/>
      <c r="AA63" s="360"/>
      <c r="AB63" s="360"/>
      <c r="AC63" s="356" t="str">
        <f>IF(MODULO!$AL$30&gt;0,MODULO!$AL$30,"")</f>
        <v/>
      </c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8"/>
      <c r="BJ63" s="8"/>
      <c r="BK63" s="8"/>
      <c r="BL63" s="8"/>
      <c r="BM63" s="8"/>
      <c r="BN63" s="8"/>
      <c r="BO63" s="8"/>
      <c r="BP63" s="8"/>
      <c r="BQ63" s="8"/>
      <c r="BU63" s="8"/>
      <c r="BV63" s="8"/>
      <c r="BW63" s="8"/>
      <c r="BX63" s="8"/>
      <c r="BY63" s="8"/>
      <c r="BZ63" s="8"/>
      <c r="CA63" s="8"/>
      <c r="CB63" s="8"/>
      <c r="CC63" s="8"/>
      <c r="CD63" s="8"/>
    </row>
    <row r="64" spans="1:82" s="1" customFormat="1" ht="18" customHeight="1">
      <c r="A64"/>
      <c r="B64"/>
      <c r="C64"/>
      <c r="D64"/>
      <c r="E64"/>
      <c r="F64"/>
      <c r="G64"/>
      <c r="H64"/>
      <c r="I64"/>
      <c r="J64"/>
      <c r="K64"/>
      <c r="L64" s="8"/>
      <c r="M64" s="8"/>
      <c r="N64" s="8"/>
      <c r="O64" s="8"/>
      <c r="P64" s="8"/>
      <c r="Q64" s="344"/>
      <c r="R64" s="344"/>
      <c r="S64" s="344"/>
      <c r="T64" s="344"/>
      <c r="U64" s="344"/>
      <c r="V64" s="344"/>
      <c r="W64" s="8"/>
      <c r="X64" s="4"/>
      <c r="Y64" s="360"/>
      <c r="Z64" s="360"/>
      <c r="AA64" s="360"/>
      <c r="AB64" s="360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7"/>
      <c r="BC64" s="357"/>
      <c r="BD64" s="357"/>
      <c r="BE64" s="357"/>
      <c r="BF64" s="357"/>
      <c r="BG64" s="357"/>
      <c r="BH64" s="357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</row>
    <row r="65" spans="1:82" s="1" customFormat="1" ht="18" customHeight="1">
      <c r="A65"/>
      <c r="B65"/>
      <c r="C65"/>
      <c r="D65"/>
      <c r="E65"/>
      <c r="F65"/>
      <c r="G65"/>
      <c r="H65"/>
      <c r="I65"/>
      <c r="J65"/>
      <c r="K65"/>
      <c r="L65" s="8"/>
      <c r="M65" s="8"/>
      <c r="N65" s="8"/>
      <c r="O65" s="8"/>
      <c r="P65" s="8"/>
      <c r="Q65" s="344"/>
      <c r="R65" s="344"/>
      <c r="S65" s="344"/>
      <c r="T65" s="344"/>
      <c r="U65" s="344"/>
      <c r="V65" s="344"/>
      <c r="W65" s="8"/>
      <c r="X65" s="4"/>
      <c r="Y65" s="360"/>
      <c r="Z65" s="360"/>
      <c r="AA65" s="360"/>
      <c r="AB65" s="360"/>
      <c r="AC65" s="361" t="str">
        <f>IF(MODULO!$AL$35&gt;0,MODULO!$AL$35,"")</f>
        <v/>
      </c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1"/>
      <c r="AO65" s="361"/>
      <c r="AP65" s="361"/>
      <c r="AQ65" s="361"/>
      <c r="AR65" s="361"/>
      <c r="AS65" s="361"/>
      <c r="AT65" s="361"/>
      <c r="AU65" s="361"/>
      <c r="AV65" s="361"/>
      <c r="AW65" s="361"/>
      <c r="AX65" s="361"/>
      <c r="AY65" s="361"/>
      <c r="AZ65" s="361"/>
      <c r="BA65" s="361"/>
      <c r="BB65" s="361"/>
      <c r="BC65" s="361"/>
      <c r="BD65" s="361"/>
      <c r="BE65" s="361"/>
      <c r="BF65" s="361"/>
      <c r="BG65" s="361"/>
      <c r="BH65" s="361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</row>
    <row r="66" spans="1:82" ht="15" customHeight="1"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4"/>
      <c r="Y66" s="46"/>
      <c r="Z66" s="46"/>
      <c r="AA66" s="46"/>
      <c r="AB66" s="46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</row>
    <row r="67" spans="1:82" ht="15" customHeight="1"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4"/>
      <c r="Y67" s="18"/>
      <c r="Z67" s="18"/>
      <c r="AA67" s="18"/>
      <c r="AB67" s="5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</row>
    <row r="68" spans="1:82" ht="18" customHeight="1">
      <c r="L68" s="6"/>
      <c r="M68" s="6"/>
      <c r="N68" s="328" t="b">
        <f>IF(AND($AE$45="3 CON FRONTALE"),(((($L17*2)+$Q17)*$W17)+(($Q17*($W17+40))+20)/10000*$W$45),IF(OR($AE$45="4 LATI CON FORI",$AE$45="4 SENZA FORI"),((($L17+$Q17)*$W17)*2/10000*$W$45),IF(AND($AE$45="3 LATI"),((($L17*2)+$Q17)*$W17)/10000*$W$45)))</f>
        <v>0</v>
      </c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</row>
    <row r="69" spans="1:82" ht="18" customHeight="1">
      <c r="L69" s="6"/>
      <c r="M69" s="6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</row>
    <row r="70" spans="1:82" ht="18" customHeight="1">
      <c r="L70" s="6"/>
      <c r="M70" s="6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</row>
    <row r="71" spans="1:82" ht="14.1" customHeight="1">
      <c r="L71" s="6"/>
      <c r="M71" s="6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</row>
    <row r="72" spans="1:82" ht="18" customHeight="1">
      <c r="L72" s="6"/>
      <c r="M72" s="6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</row>
    <row r="73" spans="1:82" ht="18" customHeight="1">
      <c r="L73" s="6"/>
      <c r="M73" s="6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09"/>
      <c r="Z73" s="309"/>
      <c r="AA73" s="309"/>
      <c r="AB73" s="309"/>
      <c r="AC73" s="309"/>
      <c r="AD73" s="309"/>
      <c r="AE73" s="309"/>
      <c r="AF73" s="309"/>
      <c r="AG73" s="309"/>
      <c r="AH73" s="309"/>
      <c r="AI73" s="309"/>
      <c r="AJ73" s="309"/>
      <c r="AK73" s="309"/>
      <c r="AL73" s="309"/>
      <c r="AM73" s="309"/>
      <c r="AN73" s="309"/>
      <c r="AO73" s="309"/>
      <c r="AP73" s="309"/>
      <c r="AQ73" s="309"/>
      <c r="AR73" s="309"/>
      <c r="AS73" s="309"/>
      <c r="AT73" s="309"/>
      <c r="AU73" s="309"/>
      <c r="AV73" s="309"/>
      <c r="AW73" s="309"/>
      <c r="AX73" s="309"/>
      <c r="AY73" s="309"/>
      <c r="AZ73" s="309"/>
      <c r="BA73" s="309"/>
      <c r="BB73" s="309"/>
      <c r="BC73" s="309"/>
      <c r="BD73" s="309"/>
      <c r="BE73" s="309"/>
      <c r="BF73" s="309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</row>
    <row r="74" spans="1:82" ht="18" customHeight="1">
      <c r="L74" s="6"/>
      <c r="M74" s="6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7"/>
      <c r="Z74" s="8"/>
      <c r="AA74" s="8"/>
      <c r="AB74" s="8"/>
      <c r="AC74" s="10"/>
      <c r="AD74" s="8"/>
      <c r="AE74" s="8"/>
      <c r="AF74" s="8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</row>
    <row r="75" spans="1:82" ht="15" customHeight="1"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7"/>
      <c r="Z75" s="8"/>
      <c r="AA75" s="8"/>
      <c r="AB75" s="8"/>
      <c r="AC75" s="10"/>
      <c r="AD75" s="8"/>
      <c r="AE75" s="8"/>
      <c r="AF75" s="8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</row>
    <row r="76" spans="1:82" ht="15" customHeight="1"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7"/>
      <c r="Z76" s="8"/>
      <c r="AA76" s="8"/>
      <c r="AB76" s="8"/>
      <c r="AC76" s="10"/>
      <c r="AD76" s="8"/>
      <c r="AE76" s="8"/>
      <c r="AF76" s="8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</row>
    <row r="77" spans="1:82" ht="12.75" customHeight="1"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7"/>
      <c r="Z77" s="8"/>
      <c r="AA77" s="8"/>
      <c r="AB77" s="8"/>
      <c r="AC77" s="10"/>
      <c r="AD77" s="8"/>
      <c r="AE77" s="8"/>
      <c r="AF77" s="8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</row>
    <row r="78" spans="1:82"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</row>
    <row r="79" spans="1:82" ht="13.5" customHeight="1"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</row>
    <row r="80" spans="1:82" ht="24.75" customHeight="1"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1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</row>
    <row r="81" spans="12:82" ht="21.9" customHeight="1"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11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</row>
    <row r="82" spans="12:82" ht="20.100000000000001" customHeight="1"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308"/>
      <c r="Z82" s="308"/>
      <c r="AA82" s="308"/>
      <c r="AB82" s="308"/>
      <c r="AC82" s="308"/>
      <c r="AD82" s="308"/>
      <c r="AE82" s="308"/>
      <c r="AF82" s="308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</row>
    <row r="83" spans="12:82" ht="18" customHeight="1"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</row>
    <row r="84" spans="12:82" ht="15" customHeight="1"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7"/>
      <c r="Z84" s="9"/>
      <c r="AA84" s="9"/>
      <c r="AB84" s="9"/>
      <c r="AC84" s="9"/>
      <c r="AD84" s="9"/>
      <c r="AE84" s="9"/>
      <c r="AF84" s="9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</row>
    <row r="85" spans="12:82" ht="18" customHeight="1"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7"/>
      <c r="Z85" s="8"/>
      <c r="AA85" s="8"/>
      <c r="AB85" s="8"/>
      <c r="AC85" s="8"/>
      <c r="AD85" s="8"/>
      <c r="AE85" s="8"/>
      <c r="AF85" s="8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</row>
    <row r="86" spans="12:82" ht="18" customHeight="1"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7"/>
      <c r="Z86" s="8"/>
      <c r="AA86" s="8"/>
      <c r="AB86" s="8"/>
      <c r="AC86" s="8"/>
      <c r="AD86" s="8"/>
      <c r="AE86" s="8"/>
      <c r="AF86" s="8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</row>
    <row r="87" spans="12:82" ht="18" customHeight="1"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7"/>
      <c r="Z87" s="8"/>
      <c r="AA87" s="8"/>
      <c r="AB87" s="8"/>
      <c r="AC87" s="10"/>
      <c r="AD87" s="8"/>
      <c r="AE87" s="8"/>
      <c r="AF87" s="8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</row>
    <row r="88" spans="12:82" ht="14.1" customHeight="1"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</row>
    <row r="89" spans="12:82" ht="18" customHeight="1"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7"/>
      <c r="Z89" s="8"/>
      <c r="AA89" s="8"/>
      <c r="AB89" s="8"/>
      <c r="AC89" s="8"/>
      <c r="AD89" s="8"/>
      <c r="AE89" s="8"/>
      <c r="AF89" s="8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</row>
    <row r="90" spans="12:82" ht="18" customHeight="1"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7"/>
      <c r="Z90" s="8"/>
      <c r="AA90" s="8"/>
      <c r="AB90" s="8"/>
      <c r="AC90" s="8"/>
      <c r="AD90" s="8"/>
      <c r="AE90" s="8"/>
      <c r="AF90" s="8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</row>
    <row r="91" spans="12:82" ht="18" customHeight="1"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7"/>
      <c r="Z91" s="8"/>
      <c r="AA91" s="8"/>
      <c r="AB91" s="8"/>
      <c r="AC91" s="10"/>
      <c r="AD91" s="8"/>
      <c r="AE91" s="8"/>
      <c r="AF91" s="8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</row>
    <row r="92" spans="12:82" ht="14.1" customHeight="1"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</row>
    <row r="93" spans="12:82" ht="18" customHeight="1"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7"/>
      <c r="Z93" s="8"/>
      <c r="AA93" s="8"/>
      <c r="AB93" s="8"/>
      <c r="AC93" s="8"/>
      <c r="AD93" s="8"/>
      <c r="AE93" s="8"/>
      <c r="AF93" s="8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</row>
    <row r="94" spans="12:82" ht="18" customHeight="1"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7"/>
      <c r="Z94" s="8"/>
      <c r="AA94" s="8"/>
      <c r="AB94" s="8"/>
      <c r="AC94" s="8"/>
      <c r="AD94" s="8"/>
      <c r="AE94" s="8"/>
      <c r="AF94" s="8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</row>
    <row r="95" spans="12:82" ht="18" customHeight="1">
      <c r="Y95" s="2"/>
      <c r="Z95" s="1"/>
      <c r="AA95" s="1"/>
      <c r="AB95" s="1"/>
      <c r="AC95" s="3"/>
      <c r="AD95" s="1"/>
      <c r="AE95" s="1"/>
      <c r="AF95" s="1"/>
    </row>
    <row r="96" spans="12:82" ht="14.1" customHeight="1"/>
    <row r="97" spans="25:32" ht="18" customHeight="1">
      <c r="Y97" s="2"/>
      <c r="Z97" s="1"/>
      <c r="AA97" s="1"/>
      <c r="AB97" s="1"/>
      <c r="AC97" s="1"/>
      <c r="AD97" s="1"/>
      <c r="AE97" s="1"/>
      <c r="AF97" s="1"/>
    </row>
    <row r="98" spans="25:32" ht="18" customHeight="1">
      <c r="Y98" s="2"/>
      <c r="Z98" s="1"/>
      <c r="AA98" s="1"/>
      <c r="AB98" s="1"/>
      <c r="AC98" s="1"/>
      <c r="AD98" s="1"/>
      <c r="AE98" s="1"/>
      <c r="AF98" s="1"/>
    </row>
    <row r="99" spans="25:32" ht="18" customHeight="1">
      <c r="Y99" s="2"/>
      <c r="Z99" s="1"/>
      <c r="AA99" s="1"/>
      <c r="AB99" s="1"/>
      <c r="AC99" s="3"/>
      <c r="AD99" s="1"/>
      <c r="AE99" s="1"/>
      <c r="AF99" s="1"/>
    </row>
    <row r="100" spans="25:32" ht="13.8">
      <c r="Y100" s="2"/>
      <c r="Z100" s="1"/>
      <c r="AA100" s="1"/>
      <c r="AB100" s="1"/>
    </row>
    <row r="101" spans="25:32" ht="13.8">
      <c r="Y101" s="2"/>
      <c r="Z101" s="1"/>
      <c r="AA101" s="1"/>
      <c r="AB101" s="1"/>
    </row>
  </sheetData>
  <sheetProtection algorithmName="SHA-512" hashValue="D3hsqroiG6KrPBdtikfyZKmJW1OvVxPWK+Y0kTIfG58NF2owAWhemRllLcfR96jDhog1gfloDufc9LSJ3R7MvQ==" saltValue="wxSvp7r8DDf+cYCFCQc22g==" spinCount="100000" sheet="1" objects="1" scenarios="1" selectLockedCells="1"/>
  <mergeCells count="334">
    <mergeCell ref="BR48:BW49"/>
    <mergeCell ref="BR52:BW53"/>
    <mergeCell ref="BR56:BW57"/>
    <mergeCell ref="BR60:BW61"/>
    <mergeCell ref="AU42:BH45"/>
    <mergeCell ref="M17:M18"/>
    <mergeCell ref="M21:M22"/>
    <mergeCell ref="M25:M26"/>
    <mergeCell ref="M29:M30"/>
    <mergeCell ref="N21:N22"/>
    <mergeCell ref="N25:N26"/>
    <mergeCell ref="N29:N30"/>
    <mergeCell ref="BJ48:BJ49"/>
    <mergeCell ref="BJ52:BJ53"/>
    <mergeCell ref="BJ56:BJ57"/>
    <mergeCell ref="BJ60:BJ61"/>
    <mergeCell ref="Q20:V20"/>
    <mergeCell ref="X20:X22"/>
    <mergeCell ref="Y20:AA20"/>
    <mergeCell ref="AB20:AD20"/>
    <mergeCell ref="AE20:AF20"/>
    <mergeCell ref="AG20:AI20"/>
    <mergeCell ref="AJ22:AL22"/>
    <mergeCell ref="AJ20:AL20"/>
    <mergeCell ref="J56:K56"/>
    <mergeCell ref="J46:K46"/>
    <mergeCell ref="L29:L30"/>
    <mergeCell ref="AJ18:AL18"/>
    <mergeCell ref="AM18:AO18"/>
    <mergeCell ref="AQ18:AS18"/>
    <mergeCell ref="AM19:AZ19"/>
    <mergeCell ref="AX16:AZ18"/>
    <mergeCell ref="AX20:AZ22"/>
    <mergeCell ref="AG19:AI19"/>
    <mergeCell ref="AJ19:AL19"/>
    <mergeCell ref="L14:L16"/>
    <mergeCell ref="S15:V15"/>
    <mergeCell ref="Y15:AD15"/>
    <mergeCell ref="AE15:AF15"/>
    <mergeCell ref="AG15:AI15"/>
    <mergeCell ref="AT15:AW15"/>
    <mergeCell ref="AX15:AZ15"/>
    <mergeCell ref="AM20:AS20"/>
    <mergeCell ref="AT20:AW22"/>
    <mergeCell ref="AM22:AO22"/>
    <mergeCell ref="AQ22:AS22"/>
    <mergeCell ref="AE21:AF21"/>
    <mergeCell ref="AM21:AS21"/>
    <mergeCell ref="J57:K57"/>
    <mergeCell ref="L25:L26"/>
    <mergeCell ref="A56:D56"/>
    <mergeCell ref="A57:D57"/>
    <mergeCell ref="A27:K27"/>
    <mergeCell ref="N17:N18"/>
    <mergeCell ref="A47:F47"/>
    <mergeCell ref="G47:I47"/>
    <mergeCell ref="J47:K47"/>
    <mergeCell ref="A48:F48"/>
    <mergeCell ref="J48:K48"/>
    <mergeCell ref="A52:H52"/>
    <mergeCell ref="I52:K52"/>
    <mergeCell ref="A53:H53"/>
    <mergeCell ref="I53:K53"/>
    <mergeCell ref="J36:K36"/>
    <mergeCell ref="J38:K38"/>
    <mergeCell ref="A40:A41"/>
    <mergeCell ref="J40:K40"/>
    <mergeCell ref="J41:K41"/>
    <mergeCell ref="A44:I44"/>
    <mergeCell ref="J44:K44"/>
    <mergeCell ref="A46:F46"/>
    <mergeCell ref="G46:I46"/>
    <mergeCell ref="A3:K3"/>
    <mergeCell ref="A28:F28"/>
    <mergeCell ref="J28:K28"/>
    <mergeCell ref="A30:F30"/>
    <mergeCell ref="J30:K30"/>
    <mergeCell ref="A32:F32"/>
    <mergeCell ref="J32:K32"/>
    <mergeCell ref="J33:K33"/>
    <mergeCell ref="J35:K35"/>
    <mergeCell ref="AX13:BH13"/>
    <mergeCell ref="AU13:AW13"/>
    <mergeCell ref="Y12:AD12"/>
    <mergeCell ref="AE12:BH12"/>
    <mergeCell ref="AT32:BH32"/>
    <mergeCell ref="Y32:AF32"/>
    <mergeCell ref="AJ32:AO32"/>
    <mergeCell ref="Y23:AA23"/>
    <mergeCell ref="AB23:AD23"/>
    <mergeCell ref="AE23:AF23"/>
    <mergeCell ref="AG23:AI23"/>
    <mergeCell ref="AJ23:AL23"/>
    <mergeCell ref="AM23:AZ23"/>
    <mergeCell ref="BA23:BH23"/>
    <mergeCell ref="Y27:AA27"/>
    <mergeCell ref="AB27:AD27"/>
    <mergeCell ref="AE27:AF27"/>
    <mergeCell ref="AM27:AZ27"/>
    <mergeCell ref="BA27:BH27"/>
    <mergeCell ref="BA15:BD15"/>
    <mergeCell ref="BE15:BH15"/>
    <mergeCell ref="BA16:BD18"/>
    <mergeCell ref="BE21:BH22"/>
    <mergeCell ref="Y22:AA22"/>
    <mergeCell ref="BE16:BH16"/>
    <mergeCell ref="Y17:AD17"/>
    <mergeCell ref="AE17:AF17"/>
    <mergeCell ref="AG17:AI17"/>
    <mergeCell ref="AJ17:AL17"/>
    <mergeCell ref="AM17:AS17"/>
    <mergeCell ref="BE17:BH18"/>
    <mergeCell ref="BA19:BH19"/>
    <mergeCell ref="Y19:AA19"/>
    <mergeCell ref="AB19:AD19"/>
    <mergeCell ref="AE19:AF19"/>
    <mergeCell ref="AT16:AW18"/>
    <mergeCell ref="P10:W10"/>
    <mergeCell ref="Q11:W11"/>
    <mergeCell ref="P8:W8"/>
    <mergeCell ref="P9:W9"/>
    <mergeCell ref="BD11:BH11"/>
    <mergeCell ref="AW11:BC11"/>
    <mergeCell ref="AD11:AV11"/>
    <mergeCell ref="Y11:AC11"/>
    <mergeCell ref="P12:V12"/>
    <mergeCell ref="AJ15:AL15"/>
    <mergeCell ref="AM15:AS15"/>
    <mergeCell ref="L17:L18"/>
    <mergeCell ref="O17:O18"/>
    <mergeCell ref="P17:P18"/>
    <mergeCell ref="Q17:V18"/>
    <mergeCell ref="W17:W18"/>
    <mergeCell ref="Q16:V16"/>
    <mergeCell ref="X16:X18"/>
    <mergeCell ref="Y16:AA16"/>
    <mergeCell ref="AB16:AD16"/>
    <mergeCell ref="AE16:AF16"/>
    <mergeCell ref="AG16:AI16"/>
    <mergeCell ref="AJ16:AL16"/>
    <mergeCell ref="AM16:AS16"/>
    <mergeCell ref="Y18:AA18"/>
    <mergeCell ref="AB18:AD18"/>
    <mergeCell ref="AE18:AF18"/>
    <mergeCell ref="AG18:AI18"/>
    <mergeCell ref="L21:L22"/>
    <mergeCell ref="O21:O22"/>
    <mergeCell ref="P21:P22"/>
    <mergeCell ref="Q21:V22"/>
    <mergeCell ref="W21:W22"/>
    <mergeCell ref="Y21:AD21"/>
    <mergeCell ref="AB22:AD22"/>
    <mergeCell ref="AE22:AF22"/>
    <mergeCell ref="AG22:AI22"/>
    <mergeCell ref="AG21:AI21"/>
    <mergeCell ref="AJ21:AL21"/>
    <mergeCell ref="BA20:BD22"/>
    <mergeCell ref="BE20:BH20"/>
    <mergeCell ref="Q24:V24"/>
    <mergeCell ref="X24:X26"/>
    <mergeCell ref="Y24:AA24"/>
    <mergeCell ref="AB24:AD24"/>
    <mergeCell ref="AE24:AF24"/>
    <mergeCell ref="AG24:AI24"/>
    <mergeCell ref="AJ24:AL24"/>
    <mergeCell ref="AM24:AS24"/>
    <mergeCell ref="AT24:AW26"/>
    <mergeCell ref="AG25:AI25"/>
    <mergeCell ref="AJ25:AL25"/>
    <mergeCell ref="AM25:AS25"/>
    <mergeCell ref="BE25:BH26"/>
    <mergeCell ref="Y26:AA26"/>
    <mergeCell ref="AB26:AD26"/>
    <mergeCell ref="AE26:AF26"/>
    <mergeCell ref="AX24:AZ26"/>
    <mergeCell ref="BA24:BD26"/>
    <mergeCell ref="BE24:BH24"/>
    <mergeCell ref="Y25:AD25"/>
    <mergeCell ref="AE25:AF25"/>
    <mergeCell ref="AM26:AO26"/>
    <mergeCell ref="O29:O30"/>
    <mergeCell ref="P29:P30"/>
    <mergeCell ref="Q29:V30"/>
    <mergeCell ref="W29:W30"/>
    <mergeCell ref="Y29:AD29"/>
    <mergeCell ref="AQ26:AS26"/>
    <mergeCell ref="Q28:V28"/>
    <mergeCell ref="X28:X30"/>
    <mergeCell ref="Y28:AA28"/>
    <mergeCell ref="AB28:AD28"/>
    <mergeCell ref="AE28:AF28"/>
    <mergeCell ref="AG28:AI28"/>
    <mergeCell ref="AJ28:AL28"/>
    <mergeCell ref="AM28:AS28"/>
    <mergeCell ref="O25:O26"/>
    <mergeCell ref="P25:P26"/>
    <mergeCell ref="Q25:V26"/>
    <mergeCell ref="W25:W26"/>
    <mergeCell ref="AM30:AO30"/>
    <mergeCell ref="AQ30:AS30"/>
    <mergeCell ref="AG26:AI26"/>
    <mergeCell ref="AJ26:AL26"/>
    <mergeCell ref="AG27:AI27"/>
    <mergeCell ref="AJ27:AL27"/>
    <mergeCell ref="BA31:BH31"/>
    <mergeCell ref="AC33:BH34"/>
    <mergeCell ref="AC35:BH35"/>
    <mergeCell ref="Y31:AA31"/>
    <mergeCell ref="AB31:AD31"/>
    <mergeCell ref="AE31:AF31"/>
    <mergeCell ref="AG31:AI31"/>
    <mergeCell ref="AJ31:AL31"/>
    <mergeCell ref="AM31:AZ31"/>
    <mergeCell ref="Y33:AB33"/>
    <mergeCell ref="Y34:AB35"/>
    <mergeCell ref="BE29:BH30"/>
    <mergeCell ref="Y30:AA30"/>
    <mergeCell ref="AB30:AD30"/>
    <mergeCell ref="AE30:AF30"/>
    <mergeCell ref="AG30:AI30"/>
    <mergeCell ref="AJ30:AL30"/>
    <mergeCell ref="AT28:AW30"/>
    <mergeCell ref="AX28:AZ30"/>
    <mergeCell ref="BA28:BD30"/>
    <mergeCell ref="BE28:BH28"/>
    <mergeCell ref="AE29:AF29"/>
    <mergeCell ref="AG29:AI29"/>
    <mergeCell ref="AJ29:AL29"/>
    <mergeCell ref="AM29:AS29"/>
    <mergeCell ref="Q45:V45"/>
    <mergeCell ref="Y45:AD45"/>
    <mergeCell ref="AE45:AJ45"/>
    <mergeCell ref="AK45:AM45"/>
    <mergeCell ref="AN45:AP45"/>
    <mergeCell ref="AQ45:AS45"/>
    <mergeCell ref="Y43:AD43"/>
    <mergeCell ref="AE43:AM43"/>
    <mergeCell ref="AN43:AP43"/>
    <mergeCell ref="AQ43:AS43"/>
    <mergeCell ref="Y44:AD44"/>
    <mergeCell ref="AE44:AJ44"/>
    <mergeCell ref="AK44:AM44"/>
    <mergeCell ref="AN44:AP44"/>
    <mergeCell ref="AQ44:AS44"/>
    <mergeCell ref="AE47:AJ47"/>
    <mergeCell ref="AK47:AP47"/>
    <mergeCell ref="AQ47:AV47"/>
    <mergeCell ref="AW47:BB47"/>
    <mergeCell ref="AW48:BB49"/>
    <mergeCell ref="BC48:BH49"/>
    <mergeCell ref="AK48:AN49"/>
    <mergeCell ref="AO48:AP48"/>
    <mergeCell ref="Q46:V46"/>
    <mergeCell ref="Y46:AD46"/>
    <mergeCell ref="AE46:AJ46"/>
    <mergeCell ref="AK46:AM46"/>
    <mergeCell ref="AN46:AP46"/>
    <mergeCell ref="AQ46:AS46"/>
    <mergeCell ref="BC47:BH47"/>
    <mergeCell ref="AQ48:AV49"/>
    <mergeCell ref="Q47:V47"/>
    <mergeCell ref="Y47:AD47"/>
    <mergeCell ref="Y82:AF82"/>
    <mergeCell ref="AK60:AN61"/>
    <mergeCell ref="AO60:AP60"/>
    <mergeCell ref="AQ60:AV61"/>
    <mergeCell ref="AW60:BB61"/>
    <mergeCell ref="BC60:BH61"/>
    <mergeCell ref="AW52:BB53"/>
    <mergeCell ref="BC52:BH53"/>
    <mergeCell ref="AW56:BB57"/>
    <mergeCell ref="BC56:BH57"/>
    <mergeCell ref="Y60:AD61"/>
    <mergeCell ref="AE60:AH61"/>
    <mergeCell ref="AI60:AJ60"/>
    <mergeCell ref="AC63:BH64"/>
    <mergeCell ref="Y62:AF62"/>
    <mergeCell ref="AJ62:AO62"/>
    <mergeCell ref="AT62:BH62"/>
    <mergeCell ref="Y63:AB65"/>
    <mergeCell ref="AC65:BH65"/>
    <mergeCell ref="Y56:AD57"/>
    <mergeCell ref="AE56:AH57"/>
    <mergeCell ref="AI56:AJ56"/>
    <mergeCell ref="AK56:AN57"/>
    <mergeCell ref="AO56:AP56"/>
    <mergeCell ref="P48:P49"/>
    <mergeCell ref="Q48:V49"/>
    <mergeCell ref="W48:W49"/>
    <mergeCell ref="Y38:AC38"/>
    <mergeCell ref="AW38:BC38"/>
    <mergeCell ref="BD38:BH38"/>
    <mergeCell ref="Y73:BF73"/>
    <mergeCell ref="AD38:AV38"/>
    <mergeCell ref="Y39:AD39"/>
    <mergeCell ref="AE39:BH39"/>
    <mergeCell ref="Y40:AE41"/>
    <mergeCell ref="AF40:AT41"/>
    <mergeCell ref="AU40:AW40"/>
    <mergeCell ref="AX40:BH40"/>
    <mergeCell ref="AQ56:AV57"/>
    <mergeCell ref="Y52:AD53"/>
    <mergeCell ref="AE52:AH53"/>
    <mergeCell ref="AI52:AJ52"/>
    <mergeCell ref="AK52:AN53"/>
    <mergeCell ref="AO52:AP52"/>
    <mergeCell ref="AQ52:AV53"/>
    <mergeCell ref="Y48:AD49"/>
    <mergeCell ref="AE48:AH49"/>
    <mergeCell ref="AI48:AJ48"/>
    <mergeCell ref="BL48:BQ49"/>
    <mergeCell ref="BL52:BQ53"/>
    <mergeCell ref="BL56:BQ57"/>
    <mergeCell ref="BL60:BQ61"/>
    <mergeCell ref="Y13:AT14"/>
    <mergeCell ref="N68:X74"/>
    <mergeCell ref="O48:O49"/>
    <mergeCell ref="O52:O53"/>
    <mergeCell ref="O56:O57"/>
    <mergeCell ref="O60:O61"/>
    <mergeCell ref="Y42:AD42"/>
    <mergeCell ref="AE42:AJ42"/>
    <mergeCell ref="AK42:AS42"/>
    <mergeCell ref="P60:P61"/>
    <mergeCell ref="Q60:V61"/>
    <mergeCell ref="W60:W61"/>
    <mergeCell ref="Q63:V63"/>
    <mergeCell ref="Q64:V65"/>
    <mergeCell ref="P56:P57"/>
    <mergeCell ref="Q56:V57"/>
    <mergeCell ref="W56:W57"/>
    <mergeCell ref="P52:P53"/>
    <mergeCell ref="Q52:V53"/>
    <mergeCell ref="W52:W53"/>
  </mergeCells>
  <phoneticPr fontId="40" type="noConversion"/>
  <printOptions horizontalCentered="1"/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C8C3-AF8D-4D98-8581-005F57C91770}">
  <sheetPr codeName="Foglio1"/>
  <dimension ref="A1:CD140"/>
  <sheetViews>
    <sheetView showGridLines="0" showRowColHeaders="0" view="pageBreakPreview" topLeftCell="N10" zoomScaleNormal="100" zoomScaleSheetLayoutView="100" workbookViewId="0">
      <selection activeCell="J57" sqref="A1:K57"/>
    </sheetView>
  </sheetViews>
  <sheetFormatPr defaultRowHeight="13.2"/>
  <cols>
    <col min="1" max="1" width="51" customWidth="1"/>
    <col min="2" max="11" width="5.6640625" customWidth="1"/>
    <col min="12" max="13" width="16.88671875" customWidth="1"/>
    <col min="14" max="14" width="17.88671875" customWidth="1"/>
    <col min="15" max="15" width="15.33203125" customWidth="1"/>
    <col min="16" max="16" width="16.5546875" customWidth="1"/>
    <col min="17" max="22" width="2.6640625" customWidth="1"/>
    <col min="23" max="23" width="15.44140625" customWidth="1"/>
    <col min="24" max="29" width="2.6640625" customWidth="1"/>
    <col min="30" max="30" width="1.5546875" customWidth="1"/>
    <col min="31" max="59" width="2.6640625" customWidth="1"/>
    <col min="60" max="60" width="4" customWidth="1"/>
    <col min="61" max="61" width="2.6640625" customWidth="1"/>
    <col min="62" max="62" width="11.88671875" customWidth="1"/>
  </cols>
  <sheetData>
    <row r="1" spans="1:82" ht="18">
      <c r="A1" s="154" t="s">
        <v>119</v>
      </c>
      <c r="L1" s="14"/>
      <c r="M1" s="14"/>
      <c r="N1" s="14"/>
      <c r="O1" s="13"/>
      <c r="P1" s="7"/>
      <c r="Q1" s="13"/>
      <c r="R1" s="13"/>
      <c r="S1" s="7"/>
      <c r="T1" s="6"/>
      <c r="U1" s="6"/>
      <c r="V1" s="6"/>
      <c r="W1" s="7"/>
      <c r="X1" s="6"/>
      <c r="Y1" s="6"/>
      <c r="Z1" s="6"/>
      <c r="AA1" s="6"/>
      <c r="AB1" s="6"/>
      <c r="AC1" s="13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</row>
    <row r="2" spans="1:82" ht="15.6">
      <c r="A2" s="130"/>
      <c r="L2" s="6"/>
      <c r="M2" s="6"/>
      <c r="N2" s="7"/>
      <c r="O2" s="6"/>
      <c r="P2" s="7"/>
      <c r="Q2" s="6"/>
      <c r="R2" s="6"/>
      <c r="S2" s="6"/>
      <c r="T2" s="6"/>
      <c r="U2" s="6"/>
      <c r="V2" s="6"/>
      <c r="W2" s="7"/>
      <c r="X2" s="6"/>
      <c r="Y2" s="6"/>
      <c r="Z2" s="6"/>
      <c r="AA2" s="6"/>
      <c r="AB2" s="6"/>
      <c r="AC2" s="13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ht="21">
      <c r="A3" s="493" t="s">
        <v>120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6"/>
      <c r="M3" s="6"/>
      <c r="N3" s="7"/>
      <c r="O3" s="6"/>
      <c r="P3" s="7"/>
      <c r="Q3" s="6"/>
      <c r="R3" s="6"/>
      <c r="S3" s="6"/>
      <c r="T3" s="6"/>
      <c r="U3" s="6"/>
      <c r="V3" s="6"/>
      <c r="W3" s="7"/>
      <c r="X3" s="6"/>
      <c r="Y3" s="6"/>
      <c r="Z3" s="108"/>
      <c r="AA3" s="108"/>
      <c r="AB3" s="108"/>
      <c r="AC3" s="13"/>
      <c r="AD3" s="108"/>
      <c r="AE3" s="108"/>
      <c r="AF3" s="108"/>
      <c r="AG3" s="108"/>
      <c r="AH3" s="108"/>
      <c r="AI3" s="7"/>
      <c r="AJ3" s="108"/>
      <c r="AK3" s="108"/>
      <c r="AL3" s="108"/>
      <c r="AM3" s="108"/>
      <c r="AN3" s="7"/>
      <c r="AO3" s="108"/>
      <c r="AP3" s="108"/>
      <c r="AQ3" s="108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</row>
    <row r="4" spans="1:82" ht="15.6">
      <c r="A4" s="155"/>
      <c r="L4" s="6"/>
      <c r="M4" s="6"/>
      <c r="N4" s="7"/>
      <c r="O4" s="6"/>
      <c r="P4" s="7"/>
      <c r="Q4" s="6"/>
      <c r="R4" s="6"/>
      <c r="S4" s="6"/>
      <c r="T4" s="6"/>
      <c r="U4" s="6"/>
      <c r="V4" s="6"/>
      <c r="W4" s="7"/>
      <c r="X4" s="6"/>
      <c r="Y4" s="6"/>
      <c r="Z4" s="12"/>
      <c r="AA4" s="108"/>
      <c r="AB4" s="108"/>
      <c r="AC4" s="13"/>
      <c r="AD4" s="108"/>
      <c r="AE4" s="108"/>
      <c r="AF4" s="108"/>
      <c r="AG4" s="12"/>
      <c r="AH4" s="12"/>
      <c r="AI4" s="12"/>
      <c r="AJ4" s="108"/>
      <c r="AK4" s="108"/>
      <c r="AL4" s="108"/>
      <c r="AM4" s="108"/>
      <c r="AN4" s="12"/>
      <c r="AO4" s="12"/>
      <c r="AP4" s="12"/>
      <c r="AQ4" s="108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15.6">
      <c r="A5" s="155" t="s">
        <v>121</v>
      </c>
      <c r="B5" s="156">
        <v>60</v>
      </c>
      <c r="C5" s="156">
        <v>80</v>
      </c>
      <c r="D5" s="156">
        <v>100</v>
      </c>
      <c r="E5" s="156">
        <v>120</v>
      </c>
      <c r="F5" s="156">
        <v>140</v>
      </c>
      <c r="G5" s="156">
        <v>160</v>
      </c>
      <c r="H5" s="156">
        <v>180</v>
      </c>
      <c r="I5" s="156">
        <v>200</v>
      </c>
      <c r="J5" s="156">
        <v>250</v>
      </c>
      <c r="K5" s="156">
        <v>300</v>
      </c>
      <c r="L5" s="6"/>
      <c r="M5" s="6"/>
      <c r="N5" s="126"/>
      <c r="O5" s="6"/>
      <c r="P5" s="7"/>
      <c r="Q5" s="6"/>
      <c r="R5" s="6"/>
      <c r="S5" s="6"/>
      <c r="T5" s="6"/>
      <c r="U5" s="6"/>
      <c r="V5" s="6"/>
      <c r="W5" s="7"/>
      <c r="X5" s="6"/>
      <c r="Y5" s="6"/>
      <c r="Z5" s="12"/>
      <c r="AA5" s="108"/>
      <c r="AB5" s="108"/>
      <c r="AC5" s="13"/>
      <c r="AD5" s="7"/>
      <c r="AE5" s="108"/>
      <c r="AF5" s="108"/>
      <c r="AG5" s="12"/>
      <c r="AH5" s="12"/>
      <c r="AI5" s="12"/>
      <c r="AJ5" s="108"/>
      <c r="AK5" s="108"/>
      <c r="AL5" s="108"/>
      <c r="AM5" s="108"/>
      <c r="AN5" s="12"/>
      <c r="AO5" s="12"/>
      <c r="AP5" s="12"/>
      <c r="AQ5" s="108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ht="15.6">
      <c r="A6" s="157" t="s">
        <v>122</v>
      </c>
      <c r="B6" s="158"/>
      <c r="C6" s="158"/>
      <c r="D6" s="158"/>
      <c r="E6" s="158"/>
      <c r="F6" s="158"/>
      <c r="G6" s="158"/>
      <c r="H6" s="158"/>
      <c r="I6" s="158"/>
      <c r="J6" s="158"/>
      <c r="K6" s="159"/>
      <c r="L6" s="6"/>
      <c r="M6" s="6"/>
      <c r="N6" s="126"/>
      <c r="O6" s="6"/>
      <c r="P6" s="7"/>
      <c r="Q6" s="6"/>
      <c r="R6" s="6"/>
      <c r="S6" s="6"/>
      <c r="T6" s="6"/>
      <c r="U6" s="6"/>
      <c r="V6" s="6"/>
      <c r="W6" s="7"/>
      <c r="X6" s="6"/>
      <c r="Y6" s="6"/>
      <c r="Z6" s="108"/>
      <c r="AA6" s="108"/>
      <c r="AB6" s="108"/>
      <c r="AC6" s="13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12"/>
      <c r="BE6" s="12"/>
      <c r="BF6" s="12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ht="16.2" thickBo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2"/>
      <c r="L7" s="6"/>
      <c r="M7" s="6"/>
      <c r="N7" s="39"/>
      <c r="O7" s="6"/>
      <c r="P7" s="7"/>
      <c r="Q7" s="6"/>
      <c r="R7" s="6"/>
      <c r="S7" s="6"/>
      <c r="T7" s="6"/>
      <c r="U7" s="6"/>
      <c r="V7" s="6"/>
      <c r="W7" s="6"/>
      <c r="X7" s="13"/>
      <c r="Y7" s="7"/>
      <c r="Z7" s="108"/>
      <c r="AA7" s="108"/>
      <c r="AB7" s="108"/>
      <c r="AC7" s="14"/>
      <c r="AD7" s="7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12"/>
      <c r="BE7" s="12"/>
      <c r="BF7" s="12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</row>
    <row r="8" spans="1:82" ht="15.6">
      <c r="A8" s="163" t="s">
        <v>123</v>
      </c>
      <c r="B8" s="158"/>
      <c r="C8" s="158"/>
      <c r="D8" s="158"/>
      <c r="E8" s="158"/>
      <c r="F8" s="158"/>
      <c r="G8" s="158"/>
      <c r="H8" s="158"/>
      <c r="I8" s="158"/>
      <c r="J8" s="158"/>
      <c r="K8" s="159"/>
      <c r="L8" s="6"/>
      <c r="M8" s="6"/>
      <c r="N8" s="126"/>
      <c r="O8" s="109" t="s">
        <v>64</v>
      </c>
      <c r="P8" s="481">
        <f>MODULO!U10</f>
        <v>0</v>
      </c>
      <c r="Q8" s="482"/>
      <c r="R8" s="482"/>
      <c r="S8" s="482"/>
      <c r="T8" s="482"/>
      <c r="U8" s="482"/>
      <c r="V8" s="482"/>
      <c r="W8" s="483"/>
      <c r="X8" s="6"/>
      <c r="Y8" s="6"/>
      <c r="Z8" s="6"/>
      <c r="AA8" s="6"/>
      <c r="AB8" s="6"/>
      <c r="AC8" s="14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</row>
    <row r="9" spans="1:82" ht="18" customHeight="1">
      <c r="A9" s="164"/>
      <c r="B9" s="161"/>
      <c r="C9" s="161"/>
      <c r="D9" s="161"/>
      <c r="E9" s="161"/>
      <c r="F9" s="161"/>
      <c r="G9" s="161"/>
      <c r="H9" s="161"/>
      <c r="I9" s="161"/>
      <c r="J9" s="161"/>
      <c r="K9" s="162"/>
      <c r="L9" s="6"/>
      <c r="M9" s="6"/>
      <c r="N9" s="126"/>
      <c r="O9" s="110" t="s">
        <v>65</v>
      </c>
      <c r="P9" s="484">
        <f>MODULO!U9</f>
        <v>0</v>
      </c>
      <c r="Q9" s="485"/>
      <c r="R9" s="485"/>
      <c r="S9" s="485"/>
      <c r="T9" s="485"/>
      <c r="U9" s="485"/>
      <c r="V9" s="485"/>
      <c r="W9" s="486"/>
      <c r="X9" s="6"/>
      <c r="Y9" s="6"/>
      <c r="Z9" s="6"/>
      <c r="AA9" s="6"/>
      <c r="AB9" s="6"/>
      <c r="AC9" s="14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ht="18" customHeight="1" thickBot="1">
      <c r="A10" s="200" t="s">
        <v>107</v>
      </c>
      <c r="B10" s="169">
        <v>6.4</v>
      </c>
      <c r="C10" s="169">
        <v>7</v>
      </c>
      <c r="D10" s="169">
        <v>8.6</v>
      </c>
      <c r="E10" s="169">
        <v>10.1</v>
      </c>
      <c r="F10" s="169">
        <v>11.5</v>
      </c>
      <c r="G10" s="169">
        <v>12.8</v>
      </c>
      <c r="H10" s="169">
        <v>14.1</v>
      </c>
      <c r="I10" s="169">
        <v>15.3</v>
      </c>
      <c r="J10" s="169">
        <v>18.5</v>
      </c>
      <c r="K10" s="170">
        <v>21.3</v>
      </c>
      <c r="L10" s="6"/>
      <c r="M10" s="6"/>
      <c r="N10" s="39"/>
      <c r="O10" s="110" t="s">
        <v>66</v>
      </c>
      <c r="P10" s="475">
        <f>MODULO!U12</f>
        <v>0</v>
      </c>
      <c r="Q10" s="476"/>
      <c r="R10" s="476"/>
      <c r="S10" s="476"/>
      <c r="T10" s="476"/>
      <c r="U10" s="476"/>
      <c r="V10" s="476"/>
      <c r="W10" s="477"/>
      <c r="X10" s="6"/>
      <c r="Y10" s="6"/>
      <c r="Z10" s="6"/>
      <c r="AA10" s="6"/>
      <c r="AB10" s="6"/>
      <c r="AC10" s="14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ht="18" customHeight="1" thickBot="1">
      <c r="A11" s="168" t="s">
        <v>108</v>
      </c>
      <c r="B11" s="169">
        <v>6.4</v>
      </c>
      <c r="C11" s="169">
        <v>7</v>
      </c>
      <c r="D11" s="169">
        <v>8.6</v>
      </c>
      <c r="E11" s="169">
        <v>10.1</v>
      </c>
      <c r="F11" s="169">
        <v>11.5</v>
      </c>
      <c r="G11" s="169">
        <v>12.8</v>
      </c>
      <c r="H11" s="169">
        <v>14.1</v>
      </c>
      <c r="I11" s="169">
        <v>15.3</v>
      </c>
      <c r="J11" s="169">
        <v>18.5</v>
      </c>
      <c r="K11" s="170">
        <v>21.3</v>
      </c>
      <c r="L11" s="6"/>
      <c r="M11" s="6"/>
      <c r="N11" s="126"/>
      <c r="O11" s="111" t="s">
        <v>43</v>
      </c>
      <c r="P11" s="112">
        <f>MODULO!U13</f>
        <v>0</v>
      </c>
      <c r="Q11" s="478">
        <f>MODULO!U14</f>
        <v>0</v>
      </c>
      <c r="R11" s="479"/>
      <c r="S11" s="479"/>
      <c r="T11" s="479"/>
      <c r="U11" s="479"/>
      <c r="V11" s="479"/>
      <c r="W11" s="480"/>
      <c r="Y11" s="345" t="s">
        <v>12</v>
      </c>
      <c r="Z11" s="345"/>
      <c r="AA11" s="345"/>
      <c r="AB11" s="345"/>
      <c r="AC11" s="345"/>
      <c r="AD11" s="488">
        <f>P8</f>
        <v>0</v>
      </c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8"/>
      <c r="AP11" s="488"/>
      <c r="AQ11" s="488"/>
      <c r="AR11" s="488"/>
      <c r="AS11" s="488"/>
      <c r="AT11" s="488"/>
      <c r="AU11" s="488"/>
      <c r="AV11" s="488"/>
      <c r="AW11" s="345" t="s">
        <v>13</v>
      </c>
      <c r="AX11" s="345"/>
      <c r="AY11" s="345"/>
      <c r="AZ11" s="345"/>
      <c r="BA11" s="345"/>
      <c r="BB11" s="345"/>
      <c r="BC11" s="345"/>
      <c r="BD11" s="487" t="str">
        <f>IF(MODULO!U8&lt;&gt;"",MODULO!U8,"")</f>
        <v/>
      </c>
      <c r="BE11" s="487"/>
      <c r="BF11" s="487"/>
      <c r="BG11" s="487"/>
      <c r="BH11" s="487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ht="18" customHeight="1" thickBot="1">
      <c r="A12" s="201" t="s">
        <v>144</v>
      </c>
      <c r="B12" s="169">
        <v>6.7200000000000006</v>
      </c>
      <c r="C12" s="169">
        <v>7.3500000000000005</v>
      </c>
      <c r="D12" s="169">
        <v>9.0299999999999994</v>
      </c>
      <c r="E12" s="169">
        <v>10.605</v>
      </c>
      <c r="F12" s="169">
        <v>12.075000000000001</v>
      </c>
      <c r="G12" s="169">
        <v>13.440000000000001</v>
      </c>
      <c r="H12" s="169">
        <v>14.805</v>
      </c>
      <c r="I12" s="169">
        <v>16.065000000000001</v>
      </c>
      <c r="J12" s="169">
        <v>19.425000000000001</v>
      </c>
      <c r="K12" s="170">
        <v>22.365000000000002</v>
      </c>
      <c r="L12" s="6"/>
      <c r="M12" s="6"/>
      <c r="N12" s="39"/>
      <c r="O12" s="113" t="s">
        <v>55</v>
      </c>
      <c r="P12" s="489">
        <f>MODULO!U16</f>
        <v>0</v>
      </c>
      <c r="Q12" s="490"/>
      <c r="R12" s="490"/>
      <c r="S12" s="490"/>
      <c r="T12" s="490"/>
      <c r="U12" s="490"/>
      <c r="V12" s="491"/>
      <c r="W12" s="114"/>
      <c r="Y12" s="348" t="s">
        <v>89</v>
      </c>
      <c r="Z12" s="348"/>
      <c r="AA12" s="348"/>
      <c r="AB12" s="348"/>
      <c r="AC12" s="348"/>
      <c r="AD12" s="348"/>
      <c r="AE12" s="492">
        <f>MODULO!U11</f>
        <v>0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2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ht="18" customHeight="1" thickBot="1">
      <c r="A13" s="172" t="s">
        <v>110</v>
      </c>
      <c r="B13" s="158"/>
      <c r="C13" s="158">
        <v>8.4239999999999995</v>
      </c>
      <c r="D13" s="158">
        <v>10.260000000000002</v>
      </c>
      <c r="E13" s="158">
        <v>11.88</v>
      </c>
      <c r="F13" s="158">
        <v>13.392000000000001</v>
      </c>
      <c r="G13" s="158">
        <v>14.795999999999999</v>
      </c>
      <c r="H13" s="158">
        <v>16.092000000000002</v>
      </c>
      <c r="I13" s="158">
        <v>17.28</v>
      </c>
      <c r="J13" s="158">
        <v>20.520000000000003</v>
      </c>
      <c r="K13" s="159">
        <v>23.220000000000002</v>
      </c>
      <c r="L13" s="7"/>
      <c r="M13" s="16" t="s">
        <v>132</v>
      </c>
      <c r="N13" s="199" t="s">
        <v>131</v>
      </c>
      <c r="O13" s="115" t="s">
        <v>45</v>
      </c>
      <c r="P13" s="112" t="str">
        <f>IF($P$14="4 SENZA FORI","NO","SI")</f>
        <v>SI</v>
      </c>
      <c r="Q13" s="7"/>
      <c r="R13" s="7"/>
      <c r="S13" s="7"/>
      <c r="T13" s="7"/>
      <c r="U13" s="7"/>
      <c r="V13" s="7"/>
      <c r="W13" s="33"/>
      <c r="Y13" s="326">
        <f>MODULO!$U$9</f>
        <v>0</v>
      </c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47" t="s">
        <v>15</v>
      </c>
      <c r="AV13" s="347"/>
      <c r="AW13" s="347"/>
      <c r="AX13" s="488">
        <f>P10</f>
        <v>0</v>
      </c>
      <c r="AY13" s="488"/>
      <c r="AZ13" s="488"/>
      <c r="BA13" s="488"/>
      <c r="BB13" s="488"/>
      <c r="BC13" s="488"/>
      <c r="BD13" s="488"/>
      <c r="BE13" s="488"/>
      <c r="BF13" s="488"/>
      <c r="BG13" s="488"/>
      <c r="BH13" s="488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ht="5.0999999999999996" customHeight="1" thickBot="1">
      <c r="A14" s="173"/>
      <c r="B14" s="166"/>
      <c r="C14" s="166"/>
      <c r="D14" s="166"/>
      <c r="E14" s="166"/>
      <c r="F14" s="166"/>
      <c r="G14" s="166"/>
      <c r="H14" s="166"/>
      <c r="I14" s="166"/>
      <c r="J14" s="166"/>
      <c r="K14" s="167"/>
      <c r="L14" s="528" t="s">
        <v>67</v>
      </c>
      <c r="M14" s="196"/>
      <c r="N14" s="126"/>
      <c r="O14" s="116" t="s">
        <v>44</v>
      </c>
      <c r="P14" s="117">
        <f>MODULO!U17</f>
        <v>0</v>
      </c>
      <c r="Q14" s="7"/>
      <c r="R14" s="7"/>
      <c r="S14" s="7"/>
      <c r="T14" s="7"/>
      <c r="U14" s="7"/>
      <c r="V14" s="7"/>
      <c r="W14" s="118" t="s">
        <v>68</v>
      </c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s="2" customFormat="1" ht="18" customHeight="1" thickBot="1">
      <c r="A15" s="174" t="s">
        <v>143</v>
      </c>
      <c r="B15" s="169"/>
      <c r="C15" s="169">
        <v>8.8559999999999999</v>
      </c>
      <c r="D15" s="169">
        <v>10.8</v>
      </c>
      <c r="E15" s="169">
        <v>12.635999999999999</v>
      </c>
      <c r="F15" s="169">
        <v>14.580000000000002</v>
      </c>
      <c r="G15" s="169">
        <v>16.200000000000003</v>
      </c>
      <c r="H15" s="169">
        <v>17.82</v>
      </c>
      <c r="I15" s="169">
        <v>19.440000000000001</v>
      </c>
      <c r="J15" s="169">
        <v>23.328000000000003</v>
      </c>
      <c r="K15" s="170">
        <v>27</v>
      </c>
      <c r="L15" s="529"/>
      <c r="M15" s="196"/>
      <c r="N15" s="39"/>
      <c r="O15" s="119" t="s">
        <v>57</v>
      </c>
      <c r="P15" s="112">
        <f>MODULO!U18</f>
        <v>0</v>
      </c>
      <c r="Q15" s="7"/>
      <c r="R15" s="7"/>
      <c r="S15" s="531" t="s">
        <v>2</v>
      </c>
      <c r="T15" s="531"/>
      <c r="U15" s="531"/>
      <c r="V15" s="532"/>
      <c r="W15" s="120">
        <f>MODULO!U19</f>
        <v>0</v>
      </c>
      <c r="X15" s="121"/>
      <c r="Y15" s="533"/>
      <c r="Z15" s="534"/>
      <c r="AA15" s="534"/>
      <c r="AB15" s="534"/>
      <c r="AC15" s="534"/>
      <c r="AD15" s="534"/>
      <c r="AE15" s="474" t="s">
        <v>3</v>
      </c>
      <c r="AF15" s="474"/>
      <c r="AG15" s="474" t="s">
        <v>4</v>
      </c>
      <c r="AH15" s="474"/>
      <c r="AI15" s="474"/>
      <c r="AJ15" s="474" t="s">
        <v>5</v>
      </c>
      <c r="AK15" s="474"/>
      <c r="AL15" s="474"/>
      <c r="AM15" s="474" t="s">
        <v>6</v>
      </c>
      <c r="AN15" s="474"/>
      <c r="AO15" s="474"/>
      <c r="AP15" s="474"/>
      <c r="AQ15" s="474"/>
      <c r="AR15" s="474"/>
      <c r="AS15" s="474"/>
      <c r="AT15" s="474" t="s">
        <v>7</v>
      </c>
      <c r="AU15" s="474"/>
      <c r="AV15" s="474"/>
      <c r="AW15" s="474"/>
      <c r="AX15" s="535" t="s">
        <v>8</v>
      </c>
      <c r="AY15" s="536"/>
      <c r="AZ15" s="537"/>
      <c r="BA15" s="474" t="s">
        <v>9</v>
      </c>
      <c r="BB15" s="474"/>
      <c r="BC15" s="474"/>
      <c r="BD15" s="474"/>
      <c r="BE15" s="474" t="s">
        <v>10</v>
      </c>
      <c r="BF15" s="474"/>
      <c r="BG15" s="474"/>
      <c r="BH15" s="474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</row>
    <row r="16" spans="1:82" s="1" customFormat="1" ht="18" customHeight="1">
      <c r="A16" s="173"/>
      <c r="B16" s="166"/>
      <c r="C16" s="166"/>
      <c r="D16" s="166"/>
      <c r="E16" s="166"/>
      <c r="F16" s="166"/>
      <c r="G16" s="166"/>
      <c r="H16" s="166"/>
      <c r="I16" s="166"/>
      <c r="J16" s="166"/>
      <c r="K16" s="167"/>
      <c r="L16" s="530"/>
      <c r="M16" s="196"/>
      <c r="N16" s="197"/>
      <c r="O16" s="29" t="s">
        <v>3</v>
      </c>
      <c r="P16" s="30" t="s">
        <v>28</v>
      </c>
      <c r="Q16" s="362" t="s">
        <v>20</v>
      </c>
      <c r="R16" s="363"/>
      <c r="S16" s="363"/>
      <c r="T16" s="363"/>
      <c r="U16" s="363"/>
      <c r="V16" s="364"/>
      <c r="W16" s="31" t="s">
        <v>29</v>
      </c>
      <c r="X16" s="306" t="s">
        <v>16</v>
      </c>
      <c r="Y16" s="455" t="s">
        <v>0</v>
      </c>
      <c r="Z16" s="456"/>
      <c r="AA16" s="456"/>
      <c r="AB16" s="457">
        <f>IF(AND(AG16=15),AM17+30,IF(AND(AG16=12),AM17+24,IF(AND(AG16=14),AM17+28,IF(AND(AG16=13),AM17+26,0))))</f>
        <v>0</v>
      </c>
      <c r="AC16" s="457"/>
      <c r="AD16" s="458"/>
      <c r="AE16" s="459">
        <f>AE18*2</f>
        <v>0</v>
      </c>
      <c r="AF16" s="460"/>
      <c r="AG16" s="461">
        <f>IF(AND(AT16="NOB"),DATI!$C$11,IF(AND(AT16="MULT"),DATI!$B$11,IF(AND(AT16="MASS"),DATI!$C$11,0)))</f>
        <v>0</v>
      </c>
      <c r="AH16" s="462"/>
      <c r="AI16" s="463"/>
      <c r="AJ16" s="464">
        <f>SUM(W17)</f>
        <v>0</v>
      </c>
      <c r="AK16" s="465"/>
      <c r="AL16" s="466"/>
      <c r="AM16" s="464" t="str">
        <f>IF(AND(BE16="HETTICH"),P17,IF(OR(BE16="BLUM                                                    DEL CLIENTE",BE16="BLUM",BE16="Hettich Actro"),P17-10,IF(AND(BE16="GRASS"),P17-10,IF(AND(BE16="SALICE"),P17-10,IF(AND(BE16="A ROTELLA"),P17," ")))))</f>
        <v xml:space="preserve"> </v>
      </c>
      <c r="AN16" s="465"/>
      <c r="AO16" s="465"/>
      <c r="AP16" s="465"/>
      <c r="AQ16" s="465"/>
      <c r="AR16" s="465"/>
      <c r="AS16" s="466"/>
      <c r="AT16" s="407" t="str">
        <f>IF(AND($P$11="MULTISTRATO",$O17&lt;&gt;0),"MULT",IF(AND($P$11="MASSELLO",$O17&lt;&gt;0),"MASS",IF(AND($P$11="NOBILITATO",$O17&lt;&gt;0),"NOB"," ")))</f>
        <v xml:space="preserve"> </v>
      </c>
      <c r="AU16" s="408"/>
      <c r="AV16" s="408"/>
      <c r="AW16" s="409"/>
      <c r="AX16" s="416" t="str">
        <f>IF(AND($P$14="3 CON FRONTALE",$O17&gt;0),"3",IF(AND($P$14="3 LATI",$O17&gt;0),"3",IF(AND($P$14="4 SENZA FORI",$O17&gt;0),"4",IF(AND($P$14="4 LATI CON FORI",$O17&gt;0),"4",""))))</f>
        <v/>
      </c>
      <c r="AY16" s="417"/>
      <c r="AZ16" s="418"/>
      <c r="BA16" s="425" t="str">
        <f>IF($O17=0," ",$Q$11)</f>
        <v xml:space="preserve"> </v>
      </c>
      <c r="BB16" s="426"/>
      <c r="BC16" s="426"/>
      <c r="BD16" s="427"/>
      <c r="BE16" s="434" t="str">
        <f>IF(AND(ISNUMBER(FIND("A ROTELLA",$P$12)),$O17&gt;0),"A ROTELLA",IF(AND(ISNUMBER(FIND("ACTRO",$P$12)),$O17&gt;0),"Hettich Actro",IF(AND(ISNUMBER(FIND("QUADRO",$P$12)),$O17&gt;0),"HETTICH",IF(AND($P$12&gt;0,$O17&gt;0),$P$12," "))))</f>
        <v xml:space="preserve"> </v>
      </c>
      <c r="BF16" s="435"/>
      <c r="BG16" s="435"/>
      <c r="BH16" s="436"/>
      <c r="BI16" s="12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 s="1" customFormat="1" ht="18" customHeight="1">
      <c r="A17" s="172" t="s">
        <v>111</v>
      </c>
      <c r="B17" s="158"/>
      <c r="C17" s="158">
        <v>8.1999999999999993</v>
      </c>
      <c r="D17" s="158">
        <v>10</v>
      </c>
      <c r="E17" s="158">
        <v>11.7</v>
      </c>
      <c r="F17" s="158">
        <v>13.5</v>
      </c>
      <c r="G17" s="158">
        <v>15</v>
      </c>
      <c r="H17" s="158">
        <v>16.5</v>
      </c>
      <c r="I17" s="158">
        <v>18</v>
      </c>
      <c r="J17" s="158">
        <v>21.6</v>
      </c>
      <c r="K17" s="159">
        <v>25</v>
      </c>
      <c r="L17" s="472" t="b">
        <f>IF(AND($P17=250),250,IF(AND($P17&gt;250,$P17&lt;301),300,IF(AND($P17&gt;=301,$P17&lt;351),350,IF(AND($P17&gt;=351,$P17&lt;401),400,IF(AND($P17&gt;=401,$P17&lt;451),450,IF(AND($P17&gt;=451,$P17&lt;501),500,IF(AND($P17&gt;=501,$P17&lt;551),550,IF(AND($P17&gt;=551,$P17&lt;601),600,IF(AND($P17&gt;=601,$P17&lt;651),650,IF(AND($P17&gt;=651,$P17&lt;701),700,IF(AND($P17&gt;=701,$P17&lt;751),750,IF(AND($P17&gt;=751,$P17&lt;801),800,IF(AND($P17&gt;=801,$P17&lt;901),900)))))))))))))</f>
        <v>0</v>
      </c>
      <c r="M17" s="540">
        <f>IF($W$15="NO",0,($L17*$Q17)/1000000*$Q$67)</f>
        <v>0</v>
      </c>
      <c r="N17" s="506" t="b">
        <f>IF($Q$11="SBIANCATO NO BORDO",INDEX($A$5:$K$23,MATCH($Q$11,$A$5:$A$23,0),MATCH(W17,$A$5:$K$5,0)),IF($Q$11="SBIANCATO BORDATO",INDEX($A$5:$K$23,MATCH($Q$11,$A$5:$A$23,0),MATCH(W17,$A$5:$K$5,0)),IF($Q$11="LAMINATO BIANCO",INDEX($A$5:$K$23,MATCH($Q$11,$A$5:$A$23,0),MATCH(W17,$A$5:$K$5,0)),IF($Q$11="ROVERE GREZZO",INDEX($A$5:$K$23,MATCH($Q$11,$A$5:$A$23,0),MATCH(W17,$A$5:$K$5,0)),IF($Q$11="ROVERE VERNICIATO",INDEX($A$5:$K$23,MATCH($Q$11,$A$5:$A$23,0),MATCH(W17,$A$5:$K$5,0)),IF($Q$11="FAGGIO LUCIDO",INDEX($A$5:$K$23,MATCH($Q$11,$A$5:$A$23,0),MATCH(W17,$A$5:$K$5,0)),IF($Q$11="FRASSINO SBIANCATO BORDATO",INDEX($A$5:$K$23,MATCH($Q$11,$A$5:$A$23,0),MATCH(W17,$A$5:$K$5,0)),IF($P$11="NOBILITATO",INDEX($A$5:$K$23,MATCH($P$11,$A$5:$A$23,0),MATCH(W17,$A$5:$K$5,0))))))))))</f>
        <v>0</v>
      </c>
      <c r="O17" s="442">
        <f>MODULO!$AN$9</f>
        <v>0</v>
      </c>
      <c r="P17" s="341">
        <f>MODULO!$AR$9</f>
        <v>0</v>
      </c>
      <c r="Q17" s="335">
        <f>MODULO!$AV$9</f>
        <v>0</v>
      </c>
      <c r="R17" s="336"/>
      <c r="S17" s="336"/>
      <c r="T17" s="336"/>
      <c r="U17" s="336"/>
      <c r="V17" s="337"/>
      <c r="W17" s="448">
        <f>MODULO!$AZ$9</f>
        <v>0</v>
      </c>
      <c r="X17" s="306"/>
      <c r="Y17" s="450" t="s">
        <v>1</v>
      </c>
      <c r="Z17" s="451"/>
      <c r="AA17" s="451"/>
      <c r="AB17" s="451"/>
      <c r="AC17" s="451"/>
      <c r="AD17" s="452"/>
      <c r="AE17" s="372">
        <f>IF(AX16="4",AE18*2,IF(AND(AX16="3"),AE18*1,0))</f>
        <v>0</v>
      </c>
      <c r="AF17" s="374"/>
      <c r="AG17" s="437">
        <f>SUM(AG16)</f>
        <v>0</v>
      </c>
      <c r="AH17" s="438"/>
      <c r="AI17" s="439"/>
      <c r="AJ17" s="369">
        <f>SUM(W17)</f>
        <v>0</v>
      </c>
      <c r="AK17" s="370"/>
      <c r="AL17" s="371"/>
      <c r="AM17" s="372" t="str">
        <f>IF(BE16="HETTICH",Q17-40,IF(BE16="BLUM                                                    DEL CLIENTE",Q17-42,IF(BE16="BLUM",Q17-42,IF(BE16="Hettich Actro",Q17-42,IF(BE16="SALICE",Q17-42,IF(BE16="GRASS",Q17-42,IF(AND(BE16="A ROTELLA",AG16=15),Q17-55,IF(AND(BE16="A ROTELLA",AG16=14),Q17-53," "))))))))</f>
        <v xml:space="preserve"> </v>
      </c>
      <c r="AN17" s="373"/>
      <c r="AO17" s="373"/>
      <c r="AP17" s="373"/>
      <c r="AQ17" s="373"/>
      <c r="AR17" s="373"/>
      <c r="AS17" s="374"/>
      <c r="AT17" s="410"/>
      <c r="AU17" s="411"/>
      <c r="AV17" s="411"/>
      <c r="AW17" s="412"/>
      <c r="AX17" s="419"/>
      <c r="AY17" s="420"/>
      <c r="AZ17" s="421"/>
      <c r="BA17" s="428"/>
      <c r="BB17" s="429"/>
      <c r="BC17" s="429"/>
      <c r="BD17" s="430"/>
      <c r="BE17" s="391" t="str">
        <f>IF(AND($P$12="A ROTELLA",$O17&gt;0),"DEL CLIENTE",IF(AND($P$12="A ROTELLA GRIGIA",$O17&gt;0),"VPA GRIGIA",IF(AND($P$12&gt;1,$O17&gt;0),"PRED. C/MAN"," ")))</f>
        <v xml:space="preserve"> </v>
      </c>
      <c r="BF17" s="392"/>
      <c r="BG17" s="392"/>
      <c r="BH17" s="393"/>
      <c r="BI17" s="26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 s="1" customFormat="1" ht="18" customHeight="1">
      <c r="A18" s="171"/>
      <c r="B18" s="166"/>
      <c r="C18" s="166"/>
      <c r="D18" s="166"/>
      <c r="E18" s="166"/>
      <c r="F18" s="166"/>
      <c r="G18" s="166"/>
      <c r="H18" s="166"/>
      <c r="I18" s="166"/>
      <c r="J18" s="166"/>
      <c r="K18" s="167"/>
      <c r="L18" s="473"/>
      <c r="M18" s="541"/>
      <c r="N18" s="507"/>
      <c r="O18" s="467"/>
      <c r="P18" s="342"/>
      <c r="Q18" s="338"/>
      <c r="R18" s="339"/>
      <c r="S18" s="339"/>
      <c r="T18" s="339"/>
      <c r="U18" s="339"/>
      <c r="V18" s="340"/>
      <c r="W18" s="468"/>
      <c r="X18" s="306"/>
      <c r="Y18" s="397" t="s">
        <v>2</v>
      </c>
      <c r="Z18" s="398"/>
      <c r="AA18" s="398"/>
      <c r="AB18" s="399"/>
      <c r="AC18" s="399"/>
      <c r="AD18" s="400"/>
      <c r="AE18" s="401">
        <f>SUM(O17)</f>
        <v>0</v>
      </c>
      <c r="AF18" s="402"/>
      <c r="AG18" s="403">
        <f>IF(AND(AT16="NOB"),DATI!$C$12,IF(AND(AT16="MULT",BA16="FAGGIO LUCIDO"),DATI!$B$13,IF(AND(AT16="MULT",BA16="FRASSINO SBIANCATO BORDATO"),DATI!$B$12,IF(AND(AT16="MULT",BA16="SBIANCATO NO BORDO"),DATI!$B$12,IF(AND(AT16="MULT",BA16="LAMINATO BIANCO"),DATI!$B$12,IF(AND(AT16="MULT",BA16="ROVERE LUCIDO"),DATI!$C$12,IF(AND(AT16="MULT",BA16="ROVERE GREZZO"),DATI!$C$12,IF(AND(AT16="MASS"),DATI!$B$13,0))))))))</f>
        <v>0</v>
      </c>
      <c r="AH18" s="404"/>
      <c r="AI18" s="405"/>
      <c r="AJ18" s="401"/>
      <c r="AK18" s="406"/>
      <c r="AL18" s="402"/>
      <c r="AM18" s="440" t="str">
        <f>IF(OR($P$14="3 CON FRONTALE",$P$14="3 LATI"),AM16,IF(AND($W$15="SFILABILE DIETRO",AG16=14),AM16-8,IF(AND($W$15="SFILABILE DIETRO",AG16=15),AM16-9,IF(AND($W$15="SFILABILE DAVANTI",AG16=14),AM16-8,IF(AND($W$15="SFILABILE DAVANTI",AG16=15),AM16-9,IF(AND(AX16=3),AM16,IF(AND(BA16="FAGGIO GREZZO",AT16="MASS"),AM16-AG16+6,IF(AND(BA16="ROVERE GREZZO",AT16="MULT"),AM16-AG16+6,IF(AND(AX16=3),AM16,IF(AND(AT16="MULT",AG16=15),AM16-17,IF(AND(AT16="NOB"),AM16-17," ")))))))))))</f>
        <v xml:space="preserve"> </v>
      </c>
      <c r="AN18" s="441"/>
      <c r="AO18" s="441"/>
      <c r="AP18" s="17" t="s">
        <v>11</v>
      </c>
      <c r="AQ18" s="441" t="str">
        <f>IF(AND(AT16="MULT",AG16=15),AM17+11,IF(AND(AT16="MULT",AG16=12),AM17+10,IF(AND(AT16="NOB",AG16=14),AM17+10,IF(AND(AT16="MASS",AG16=14),AM17+10," "))))</f>
        <v xml:space="preserve"> </v>
      </c>
      <c r="AR18" s="441"/>
      <c r="AS18" s="453"/>
      <c r="AT18" s="413"/>
      <c r="AU18" s="414"/>
      <c r="AV18" s="414"/>
      <c r="AW18" s="415"/>
      <c r="AX18" s="422"/>
      <c r="AY18" s="423"/>
      <c r="AZ18" s="424"/>
      <c r="BA18" s="431"/>
      <c r="BB18" s="432"/>
      <c r="BC18" s="432"/>
      <c r="BD18" s="433"/>
      <c r="BE18" s="394"/>
      <c r="BF18" s="395"/>
      <c r="BG18" s="395"/>
      <c r="BH18" s="396"/>
      <c r="BI18" s="26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 ht="15" customHeight="1" thickBot="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6"/>
      <c r="M19" s="6"/>
      <c r="N19" s="39"/>
      <c r="O19" s="32"/>
      <c r="P19" s="6"/>
      <c r="Q19" s="6"/>
      <c r="R19" s="6"/>
      <c r="S19" s="6"/>
      <c r="T19" s="6"/>
      <c r="U19" s="6"/>
      <c r="V19" s="6"/>
      <c r="W19" s="33"/>
      <c r="X19" s="48"/>
      <c r="Y19" s="385" t="str">
        <f>IF($AM19="FRONTALE A FILO SOPRA","FRONTALE","")</f>
        <v/>
      </c>
      <c r="Z19" s="386"/>
      <c r="AA19" s="386"/>
      <c r="AB19" s="381" t="str">
        <f>IF($AM19="FRONTALE A FILO SOPRA",$AB16,"")</f>
        <v/>
      </c>
      <c r="AC19" s="381"/>
      <c r="AD19" s="381"/>
      <c r="AE19" s="381" t="str">
        <f>IF($AM19="FRONTALE A FILO SOPRA",$AE18,"")</f>
        <v/>
      </c>
      <c r="AF19" s="381"/>
      <c r="AG19" s="381" t="str">
        <f>IF($AM19="FRONTALE A FILO SOPRA",$AG16,"")</f>
        <v/>
      </c>
      <c r="AH19" s="381"/>
      <c r="AI19" s="381"/>
      <c r="AJ19" s="381" t="str">
        <f>IF($AM19="FRONTALE A FILO SOPRA",$AJ16+20,"")</f>
        <v/>
      </c>
      <c r="AK19" s="381"/>
      <c r="AL19" s="381"/>
      <c r="AM19" s="387" t="str">
        <f>IF(AND($P$14="3 CON FRONTALE",$O17&gt;0),"FRONTALE A FILO SOPRA"," ")</f>
        <v xml:space="preserve"> </v>
      </c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1"/>
      <c r="BB19" s="381"/>
      <c r="BC19" s="381"/>
      <c r="BD19" s="381"/>
      <c r="BE19" s="381"/>
      <c r="BF19" s="381"/>
      <c r="BG19" s="381"/>
      <c r="BH19" s="382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</row>
    <row r="20" spans="1:82" s="1" customFormat="1" ht="18" customHeight="1">
      <c r="A20" s="175" t="s">
        <v>109</v>
      </c>
      <c r="B20" s="169">
        <v>6.6</v>
      </c>
      <c r="C20" s="169">
        <v>7.5</v>
      </c>
      <c r="D20" s="169">
        <v>9</v>
      </c>
      <c r="E20" s="169">
        <v>10.5</v>
      </c>
      <c r="F20" s="169">
        <v>12</v>
      </c>
      <c r="G20" s="169">
        <v>13.5</v>
      </c>
      <c r="H20" s="169">
        <v>14.8</v>
      </c>
      <c r="I20" s="169">
        <v>16</v>
      </c>
      <c r="J20" s="169">
        <v>19.2</v>
      </c>
      <c r="K20" s="170">
        <v>22.2</v>
      </c>
      <c r="L20" s="8"/>
      <c r="M20" s="8"/>
      <c r="N20" s="197"/>
      <c r="O20" s="29" t="s">
        <v>3</v>
      </c>
      <c r="P20" s="34" t="s">
        <v>28</v>
      </c>
      <c r="Q20" s="362" t="s">
        <v>20</v>
      </c>
      <c r="R20" s="363"/>
      <c r="S20" s="363"/>
      <c r="T20" s="363"/>
      <c r="U20" s="363"/>
      <c r="V20" s="364"/>
      <c r="W20" s="35" t="s">
        <v>29</v>
      </c>
      <c r="X20" s="454" t="s">
        <v>17</v>
      </c>
      <c r="Y20" s="455" t="s">
        <v>0</v>
      </c>
      <c r="Z20" s="456"/>
      <c r="AA20" s="456"/>
      <c r="AB20" s="457">
        <f>IF(AND(AG20=15),AM21+30,IF(AND(AG20=12),AM21+24,IF(AND(AG20=14),AM21+28,IF(AND(AG20=13),AM21+26,0))))</f>
        <v>0</v>
      </c>
      <c r="AC20" s="457"/>
      <c r="AD20" s="458"/>
      <c r="AE20" s="459">
        <f>AE22*2</f>
        <v>0</v>
      </c>
      <c r="AF20" s="460"/>
      <c r="AG20" s="461">
        <f>IF(AND(AT20="NOB"),DATI!$C$11,IF(AND(AT20="MULT"),DATI!$B$11,IF(AND(AT20="MASS"),DATI!$C$11,0)))</f>
        <v>0</v>
      </c>
      <c r="AH20" s="462"/>
      <c r="AI20" s="463"/>
      <c r="AJ20" s="464">
        <f>SUM(W21)</f>
        <v>0</v>
      </c>
      <c r="AK20" s="465"/>
      <c r="AL20" s="466"/>
      <c r="AM20" s="464" t="str">
        <f>IF(AND(BE20="HETTICH"),P21,IF(OR(BE20="BLUM                                                    DEL CLIENTE",BE20="BLUM",BE20="Hettich Actro"),P21-10,IF(AND(BE20="GRASS"),P21-10,IF(AND(BE20="SALICE"),P21-10,IF(AND(BE20="A ROTELLA"),P21," ")))))</f>
        <v xml:space="preserve"> </v>
      </c>
      <c r="AN20" s="465"/>
      <c r="AO20" s="465"/>
      <c r="AP20" s="465"/>
      <c r="AQ20" s="465"/>
      <c r="AR20" s="465"/>
      <c r="AS20" s="466"/>
      <c r="AT20" s="407" t="str">
        <f>IF(AND($P$11="MULTISTRATO",$O21&lt;&gt;0),"MULT",IF(AND($P$11="MASSELLO",$O21&lt;&gt;0),"MASS",IF(AND($P$11="NOBILITATO",$O21&lt;&gt;0),"NOB"," ")))</f>
        <v xml:space="preserve"> </v>
      </c>
      <c r="AU20" s="408"/>
      <c r="AV20" s="408"/>
      <c r="AW20" s="409"/>
      <c r="AX20" s="416" t="str">
        <f>IF(AND($P$14="3 CON FRONTALE",$O21&gt;0),"3",IF(AND($P$14="3 LATI",$O21&gt;0),"3",IF(AND($P$14="4 SENZA FORI",$O21&gt;0),"4",IF(AND($P$14="4 LATI CON FORI",$O21&gt;0),"4",""))))</f>
        <v/>
      </c>
      <c r="AY20" s="417"/>
      <c r="AZ20" s="418"/>
      <c r="BA20" s="425" t="str">
        <f>IF($O21=0," ",$Q$11)</f>
        <v xml:space="preserve"> </v>
      </c>
      <c r="BB20" s="426"/>
      <c r="BC20" s="426"/>
      <c r="BD20" s="427"/>
      <c r="BE20" s="434" t="str">
        <f>IF(AND(ISNUMBER(FIND("A ROTELLA",$P$12)),$O21&gt;0),"A ROTELLA",IF(AND(ISNUMBER(FIND("ACTRO",$P$12)),$O21&gt;0),"Hettich Actro",IF(AND(ISNUMBER(FIND("QUADRO",$P$12)),$O21&gt;0),"HETTICH",IF(AND($P$12&gt;0,$O21&gt;0),$P$12," "))))</f>
        <v xml:space="preserve"> </v>
      </c>
      <c r="BF20" s="435"/>
      <c r="BG20" s="435"/>
      <c r="BH20" s="436"/>
      <c r="BI20" s="12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s="1" customFormat="1" ht="18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472" t="b">
        <f>IF(AND($P21=250),250,IF(AND($P21&gt;250,$P21&lt;301),300,IF(AND($P21&gt;=301,$P21&lt;351),350,IF(AND($P21&gt;=351,$P21&lt;401),400,IF(AND($P21&gt;=401,$P21&lt;451),450,IF(AND($P21&gt;=451,$P21&lt;501),500,IF(AND($P21&gt;=501,$P21&lt;551),550,IF(AND($P21&gt;=551,$P21&lt;601),600,IF(AND($P21&gt;=601,$P21&lt;651),650,IF(AND($P21&gt;=651,$P21&lt;701),700,IF(AND($P21&gt;=701,$P21&lt;751),750,IF(AND($P21&gt;=751,$P21&lt;801),800,IF(AND($P21&gt;=801,$P21&lt;901),900)))))))))))))</f>
        <v>0</v>
      </c>
      <c r="M21" s="540">
        <f>IF($W$15="NO",0,($L21*$Q21)/1000000*$Q$67)</f>
        <v>0</v>
      </c>
      <c r="N21" s="506" t="b">
        <f>IF($Q$11="SBIANCATO NO BORDO",INDEX($A$5:$K$23,MATCH($Q$11,$A$5:$A$23,0),MATCH(W21,$A$5:$K$5,0)),IF($Q$11="SBIANCATO BORDATO",INDEX($A$5:$K$23,MATCH($Q$11,$A$5:$A$23,0),MATCH(W21,$A$5:$K$5,0)),IF($Q$11="LAMINATO BIANCO",INDEX($A$5:$K$23,MATCH($Q$11,$A$5:$A$23,0),MATCH(W21,$A$5:$K$5,0)),IF($Q$11="ROVERE GREZZO",INDEX($A$5:$K$23,MATCH($Q$11,$A$5:$A$23,0),MATCH(W21,$A$5:$K$5,0)),IF($Q$11="ROVERE VERNICIATO",INDEX($A$5:$K$23,MATCH($Q$11,$A$5:$A$23,0),MATCH(W21,$A$5:$K$5,0)),IF($Q$11="FAGGIO LUCIDO",INDEX($A$5:$K$23,MATCH($Q$11,$A$5:$A$23,0),MATCH(W21,$A$5:$K$5,0)),IF($Q$11="FRASSINO SBIANCATO BORDATO",INDEX($A$5:$K$23,MATCH($Q$11,$A$5:$A$23,0),MATCH(W21,$A$5:$K$5,0)),IF($P$11="NOBILITATO",INDEX($A$5:$K$23,MATCH($P$11,$A$5:$A$23,0),MATCH(W21,$A$5:$K$5,0))))))))))</f>
        <v>0</v>
      </c>
      <c r="O21" s="442">
        <f>MODULO!$AN$11</f>
        <v>0</v>
      </c>
      <c r="P21" s="341">
        <f>MODULO!$AR$11</f>
        <v>0</v>
      </c>
      <c r="Q21" s="335">
        <f>MODULO!$AV$11</f>
        <v>0</v>
      </c>
      <c r="R21" s="336"/>
      <c r="S21" s="336"/>
      <c r="T21" s="336"/>
      <c r="U21" s="336"/>
      <c r="V21" s="337"/>
      <c r="W21" s="448">
        <f>MODULO!$AZ$11</f>
        <v>0</v>
      </c>
      <c r="X21" s="454"/>
      <c r="Y21" s="450" t="s">
        <v>1</v>
      </c>
      <c r="Z21" s="451"/>
      <c r="AA21" s="451"/>
      <c r="AB21" s="451"/>
      <c r="AC21" s="451"/>
      <c r="AD21" s="452"/>
      <c r="AE21" s="372">
        <f>IF(AX20="4",AE22*2,IF(AND(AX20="3"),AE22*1,0))</f>
        <v>0</v>
      </c>
      <c r="AF21" s="374"/>
      <c r="AG21" s="437">
        <f>SUM(AG20)</f>
        <v>0</v>
      </c>
      <c r="AH21" s="438"/>
      <c r="AI21" s="439"/>
      <c r="AJ21" s="369">
        <f>SUM(W21)</f>
        <v>0</v>
      </c>
      <c r="AK21" s="370"/>
      <c r="AL21" s="371"/>
      <c r="AM21" s="372" t="str">
        <f>IF(BE20="HETTICH",Q21-40,IF(BE20="BLUM                                                    DEL CLIENTE",Q21-42,IF(BE20="BLUM",Q21-42,IF(BE20="Hettich Actro",Q21-42,IF(BE20="SALICE",Q21-42,IF(BE20="GRASS",Q21-42,IF(AND(BE20="A ROTELLA",AG20=15),Q21-55,IF(AND(BE20="A ROTELLA",AG20=14),Q21-53," "))))))))</f>
        <v xml:space="preserve"> </v>
      </c>
      <c r="AN21" s="373"/>
      <c r="AO21" s="373"/>
      <c r="AP21" s="373"/>
      <c r="AQ21" s="373"/>
      <c r="AR21" s="373"/>
      <c r="AS21" s="374"/>
      <c r="AT21" s="410"/>
      <c r="AU21" s="411"/>
      <c r="AV21" s="411"/>
      <c r="AW21" s="412"/>
      <c r="AX21" s="419"/>
      <c r="AY21" s="420"/>
      <c r="AZ21" s="421"/>
      <c r="BA21" s="428"/>
      <c r="BB21" s="429"/>
      <c r="BC21" s="429"/>
      <c r="BD21" s="430"/>
      <c r="BE21" s="391" t="str">
        <f>IF(AND($P$12="A ROTELLA",$O21&gt;0),"DEL CLIENTE",IF(AND($P$12="A ROTELLA GRIGIA",$O21&gt;0),"VPA GRIGIA",IF(AND($P$12&gt;1,$O21&gt;0),"PRED. C/MAN"," ")))</f>
        <v xml:space="preserve"> </v>
      </c>
      <c r="BF21" s="392"/>
      <c r="BG21" s="392"/>
      <c r="BH21" s="393"/>
      <c r="BI21" s="26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</row>
    <row r="22" spans="1:82" s="1" customFormat="1" ht="18" customHeight="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  <c r="L22" s="473"/>
      <c r="M22" s="541"/>
      <c r="N22" s="507"/>
      <c r="O22" s="467"/>
      <c r="P22" s="342"/>
      <c r="Q22" s="338"/>
      <c r="R22" s="339"/>
      <c r="S22" s="339"/>
      <c r="T22" s="339"/>
      <c r="U22" s="339"/>
      <c r="V22" s="340"/>
      <c r="W22" s="468"/>
      <c r="X22" s="454"/>
      <c r="Y22" s="397" t="s">
        <v>2</v>
      </c>
      <c r="Z22" s="398"/>
      <c r="AA22" s="398"/>
      <c r="AB22" s="399"/>
      <c r="AC22" s="399"/>
      <c r="AD22" s="400"/>
      <c r="AE22" s="401">
        <f>SUM(O21)</f>
        <v>0</v>
      </c>
      <c r="AF22" s="402"/>
      <c r="AG22" s="403">
        <f>IF(AND(AT20="NOB"),DATI!$C$12,IF(AND(AT20="MULT",BA20="FAGGIO LUCIDO"),DATI!$B$13,IF(AND(AT20="MULT",BA20="FRASSINO SBIANCATO BORDATO"),DATI!$B$12,IF(AND(AT20="MULT",BA20="SBIANCATO NO BORDO"),DATI!$B$12,IF(AND(AT20="MULT",BA20="LAMINATO BIANCO"),DATI!$B$12,IF(AND(AT20="MULT",BA20="ROVERE LUCIDO"),DATI!$C$12,IF(AND(AT20="MULT",BA20="ROVERE GREZZO"),DATI!$C$12,IF(AND(AT20="MASS"),DATI!$B$13,0))))))))</f>
        <v>0</v>
      </c>
      <c r="AH22" s="404"/>
      <c r="AI22" s="405"/>
      <c r="AJ22" s="401"/>
      <c r="AK22" s="406"/>
      <c r="AL22" s="402"/>
      <c r="AM22" s="440" t="str">
        <f>IF(OR($P$14="3 CON FRONTALE",$P$14="3 LATI"),AM20,IF(AND($W$15="SFILABILE DIETRO",AG20=14),AM20-8,IF(AND($W$15="SFILABILE DIETRO",AG20=15),AM20-9,IF(AND($W$15="SFILABILE DAVANTI",AG20=14),AM20-8,IF(AND($W$15="SFILABILE DAVANTI",AG20=15),AM20-9,IF(AND(AX20=3),AM20,IF(AND(BA20="FAGGIO GREZZO",AT20="MASS"),AM20-AG20+6,IF(AND(BA20="ROVERE GREZZO",AT20="MULT"),AM20-AG20+6,IF(AND(AX20=3),AM20,IF(AND(AT20="MULT",AG20=15),AM20-17,IF(AND(AT20="NOB"),AM20-17," ")))))))))))</f>
        <v xml:space="preserve"> </v>
      </c>
      <c r="AN22" s="441"/>
      <c r="AO22" s="441"/>
      <c r="AP22" s="17" t="s">
        <v>11</v>
      </c>
      <c r="AQ22" s="441" t="str">
        <f>IF(AND(AT20="MULT",AG20=15),AM21+11,IF(AND(AT20="MULT",AG20=12),AM21+10,IF(AND(AT20="NOB",AG20=14),AM21+10,IF(AND(AT20="MASS",AG20=14),AM21+10," "))))</f>
        <v xml:space="preserve"> </v>
      </c>
      <c r="AR22" s="441"/>
      <c r="AS22" s="453"/>
      <c r="AT22" s="413"/>
      <c r="AU22" s="414"/>
      <c r="AV22" s="414"/>
      <c r="AW22" s="415"/>
      <c r="AX22" s="422"/>
      <c r="AY22" s="423"/>
      <c r="AZ22" s="424"/>
      <c r="BA22" s="431"/>
      <c r="BB22" s="432"/>
      <c r="BC22" s="432"/>
      <c r="BD22" s="433"/>
      <c r="BE22" s="394"/>
      <c r="BF22" s="395"/>
      <c r="BG22" s="395"/>
      <c r="BH22" s="396"/>
      <c r="BI22" s="26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ht="15" customHeight="1" thickBot="1">
      <c r="A23" s="200" t="s">
        <v>50</v>
      </c>
      <c r="B23" s="158">
        <v>6.5100000000000007</v>
      </c>
      <c r="C23" s="158">
        <v>7.14</v>
      </c>
      <c r="D23" s="158">
        <v>7.4550000000000001</v>
      </c>
      <c r="E23" s="158">
        <v>7.7700000000000005</v>
      </c>
      <c r="F23" s="158">
        <v>8.61</v>
      </c>
      <c r="G23" s="158">
        <v>9.5549999999999997</v>
      </c>
      <c r="H23" s="158">
        <v>10.5</v>
      </c>
      <c r="I23" s="158">
        <v>11.55</v>
      </c>
      <c r="J23" s="158">
        <v>13.65</v>
      </c>
      <c r="K23" s="159">
        <v>15.75</v>
      </c>
      <c r="L23" s="6"/>
      <c r="M23" s="6"/>
      <c r="N23" s="198"/>
      <c r="O23" s="32"/>
      <c r="P23" s="6"/>
      <c r="Q23" s="6"/>
      <c r="R23" s="6"/>
      <c r="S23" s="6"/>
      <c r="T23" s="6"/>
      <c r="U23" s="6"/>
      <c r="V23" s="6"/>
      <c r="W23" s="33"/>
      <c r="X23" s="122"/>
      <c r="Y23" s="385" t="str">
        <f>IF($AM23="FRONTALE A FILO SOPRA","FRONTALE","")</f>
        <v/>
      </c>
      <c r="Z23" s="386"/>
      <c r="AA23" s="386"/>
      <c r="AB23" s="381" t="str">
        <f>IF($AM23="FRONTALE A FILO SOPRA",$AB20,"")</f>
        <v/>
      </c>
      <c r="AC23" s="381"/>
      <c r="AD23" s="381"/>
      <c r="AE23" s="381" t="str">
        <f>IF($AM23="FRONTALE A FILO SOPRA",$AE22,"")</f>
        <v/>
      </c>
      <c r="AF23" s="381"/>
      <c r="AG23" s="381" t="str">
        <f>IF($AM23="FRONTALE A FILO SOPRA",$AG20,"")</f>
        <v/>
      </c>
      <c r="AH23" s="381"/>
      <c r="AI23" s="381"/>
      <c r="AJ23" s="381" t="str">
        <f>IF($AM23="FRONTALE A FILO SOPRA",$AJ20+20,"")</f>
        <v/>
      </c>
      <c r="AK23" s="381"/>
      <c r="AL23" s="381"/>
      <c r="AM23" s="387" t="str">
        <f>IF(AND($P$14="3 CON FRONTALE",$O21&gt;0),"FRONTALE A FILO SOPRA"," ")</f>
        <v xml:space="preserve"> </v>
      </c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1"/>
      <c r="BB23" s="381"/>
      <c r="BC23" s="381"/>
      <c r="BD23" s="381"/>
      <c r="BE23" s="381"/>
      <c r="BF23" s="381"/>
      <c r="BG23" s="381"/>
      <c r="BH23" s="382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</row>
    <row r="24" spans="1:82" s="1" customFormat="1" ht="18" customHeight="1">
      <c r="A24" s="179" t="s">
        <v>124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2"/>
      <c r="L24" s="8"/>
      <c r="M24" s="8"/>
      <c r="N24" s="197"/>
      <c r="O24" s="29" t="s">
        <v>3</v>
      </c>
      <c r="P24" s="34" t="s">
        <v>28</v>
      </c>
      <c r="Q24" s="362" t="s">
        <v>20</v>
      </c>
      <c r="R24" s="363"/>
      <c r="S24" s="363"/>
      <c r="T24" s="363"/>
      <c r="U24" s="363"/>
      <c r="V24" s="364"/>
      <c r="W24" s="35" t="s">
        <v>29</v>
      </c>
      <c r="X24" s="454" t="s">
        <v>18</v>
      </c>
      <c r="Y24" s="455" t="s">
        <v>0</v>
      </c>
      <c r="Z24" s="456"/>
      <c r="AA24" s="456"/>
      <c r="AB24" s="457">
        <f>IF(AND(AG24=15),AM25+30,IF(AND(AG24=12),AM25+24,IF(AND(AG24=14),AM25+28,IF(AND(AG24=13),AM25+26,0))))</f>
        <v>0</v>
      </c>
      <c r="AC24" s="457"/>
      <c r="AD24" s="458"/>
      <c r="AE24" s="459">
        <f>AE26*2</f>
        <v>0</v>
      </c>
      <c r="AF24" s="460"/>
      <c r="AG24" s="461">
        <f>IF(AND(AT24="NOB"),DATI!$C$11,IF(AND(AT24="MULT"),DATI!$B$11,IF(AND(AT24="MASS"),DATI!$C$11,0)))</f>
        <v>0</v>
      </c>
      <c r="AH24" s="462"/>
      <c r="AI24" s="463"/>
      <c r="AJ24" s="464">
        <f>SUM(W25)</f>
        <v>0</v>
      </c>
      <c r="AK24" s="465"/>
      <c r="AL24" s="466"/>
      <c r="AM24" s="464" t="str">
        <f>IF(AND(BE24="HETTICH"),P25,IF(OR(BE24="BLUM                                                    DEL CLIENTE",BE24="BLUM",BE24="Hettich Actro"),P25-10,IF(AND(BE24="GRASS"),P25-10,IF(AND(BE24="SALICE"),P25-10,IF(AND(BE24="A ROTELLA"),P25," ")))))</f>
        <v xml:space="preserve"> </v>
      </c>
      <c r="AN24" s="465"/>
      <c r="AO24" s="465"/>
      <c r="AP24" s="465"/>
      <c r="AQ24" s="465"/>
      <c r="AR24" s="465"/>
      <c r="AS24" s="466"/>
      <c r="AT24" s="407" t="str">
        <f>IF(AND($P$11="MULTISTRATO",$O25&lt;&gt;0),"MULT",IF(AND($P$11="MASSELLO",$O25&lt;&gt;0),"MASS",IF(AND($P$11="NOBILITATO",$O25&lt;&gt;0),"NOB"," ")))</f>
        <v xml:space="preserve"> </v>
      </c>
      <c r="AU24" s="408"/>
      <c r="AV24" s="408"/>
      <c r="AW24" s="409"/>
      <c r="AX24" s="416" t="str">
        <f>IF(AND($P$14="3 CON FRONTALE",$O25&gt;0),"3",IF(AND($P$14="3 LATI",$O25&gt;0),"3",IF(AND($P$14="4 SENZA FORI",$O25&gt;0),"4",IF(AND($P$14="4 LATI CON FORI",$O25&gt;0),"4",""))))</f>
        <v/>
      </c>
      <c r="AY24" s="417"/>
      <c r="AZ24" s="418"/>
      <c r="BA24" s="425" t="str">
        <f>IF($O25=0," ",$Q$11)</f>
        <v xml:space="preserve"> </v>
      </c>
      <c r="BB24" s="426"/>
      <c r="BC24" s="426"/>
      <c r="BD24" s="427"/>
      <c r="BE24" s="434" t="str">
        <f>IF(AND(ISNUMBER(FIND("A ROTELLA",$P$12)),$O25&gt;0),"A ROTELLA",IF(AND(ISNUMBER(FIND("ACTRO",$P$12)),$O25&gt;0),"Hettich Actro",IF(AND(ISNUMBER(FIND("QUADRO",$P$12)),$O25&gt;0),"HETTICH",IF(AND($P$12&gt;0,$O25&gt;0),$P$12," "))))</f>
        <v xml:space="preserve"> </v>
      </c>
      <c r="BF24" s="435"/>
      <c r="BG24" s="435"/>
      <c r="BH24" s="436"/>
      <c r="BI24" s="12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</row>
    <row r="25" spans="1:82" s="1" customFormat="1" ht="18" customHeight="1">
      <c r="A25" s="180"/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472" t="b">
        <f>IF(AND($P25=250),250,IF(AND($P25&gt;250,$P25&lt;301),300,IF(AND($P25&gt;=301,$P25&lt;351),350,IF(AND($P25&gt;=351,$P25&lt;401),400,IF(AND($P25&gt;=401,$P25&lt;451),450,IF(AND($P25&gt;=451,$P25&lt;501),500,IF(AND($P25&gt;=501,$P25&lt;551),550,IF(AND($P25&gt;=551,$P25&lt;601),600,IF(AND($P25&gt;=601,$P25&lt;651),650,IF(AND($P25&gt;=651,$P25&lt;701),700,IF(AND($P25&gt;=701,$P25&lt;751),750,IF(AND($P25&gt;=751,$P25&lt;801),800,IF(AND($P25&gt;=801,$P25&lt;901),900)))))))))))))</f>
        <v>0</v>
      </c>
      <c r="M25" s="540">
        <f>IF($W$15="NO",0,($L25*$Q25)/1000000*$Q$67)</f>
        <v>0</v>
      </c>
      <c r="N25" s="506" t="b">
        <f>IF($Q$11="SBIANCATO NO BORDO",INDEX($A$5:$K$23,MATCH($Q$11,$A$5:$A$23,0),MATCH(W25,$A$5:$K$5,0)),IF($Q$11="SBIANCATO BORDATO",INDEX($A$5:$K$23,MATCH($Q$11,$A$5:$A$23,0),MATCH(W25,$A$5:$K$5,0)),IF($Q$11="LAMINATO BIANCO",INDEX($A$5:$K$23,MATCH($Q$11,$A$5:$A$23,0),MATCH(W25,$A$5:$K$5,0)),IF($Q$11="ROVERE GREZZO",INDEX($A$5:$K$23,MATCH($Q$11,$A$5:$A$23,0),MATCH(W25,$A$5:$K$5,0)),IF($Q$11="ROVERE VERNICIATO",INDEX($A$5:$K$23,MATCH($Q$11,$A$5:$A$23,0),MATCH(W25,$A$5:$K$5,0)),IF($Q$11="FAGGIO LUCIDO",INDEX($A$5:$K$23,MATCH($Q$11,$A$5:$A$23,0),MATCH(W25,$A$5:$K$5,0)),IF($Q$11="FRASSINO SBIANCATO BORDATO",INDEX($A$5:$K$23,MATCH($Q$11,$A$5:$A$23,0),MATCH(W25,$A$5:$K$5,0)),IF($P$11="NOBILITATO",INDEX($A$5:$K$23,MATCH($P$11,$A$5:$A$23,0),MATCH(W25,$A$5:$K$5,0))))))))))</f>
        <v>0</v>
      </c>
      <c r="O25" s="442">
        <f>MODULO!$AN$13</f>
        <v>0</v>
      </c>
      <c r="P25" s="341">
        <f>MODULO!$AR$13</f>
        <v>0</v>
      </c>
      <c r="Q25" s="335">
        <f>MODULO!$AV$13</f>
        <v>0</v>
      </c>
      <c r="R25" s="336"/>
      <c r="S25" s="336"/>
      <c r="T25" s="336"/>
      <c r="U25" s="336"/>
      <c r="V25" s="337"/>
      <c r="W25" s="448">
        <f>MODULO!$AZ$13</f>
        <v>0</v>
      </c>
      <c r="X25" s="454"/>
      <c r="Y25" s="450" t="s">
        <v>1</v>
      </c>
      <c r="Z25" s="451"/>
      <c r="AA25" s="451"/>
      <c r="AB25" s="451"/>
      <c r="AC25" s="451"/>
      <c r="AD25" s="452"/>
      <c r="AE25" s="372">
        <f>IF(AX24="4",AE26*2,IF(AND(AX24="3"),AE26*1,0))</f>
        <v>0</v>
      </c>
      <c r="AF25" s="374"/>
      <c r="AG25" s="437">
        <f>SUM(AG24)</f>
        <v>0</v>
      </c>
      <c r="AH25" s="438"/>
      <c r="AI25" s="439"/>
      <c r="AJ25" s="369">
        <f>SUM(W25)</f>
        <v>0</v>
      </c>
      <c r="AK25" s="370"/>
      <c r="AL25" s="371"/>
      <c r="AM25" s="372" t="str">
        <f>IF(BE24="HETTICH",Q25-40,IF(BE24="BLUM                                                    DEL CLIENTE",Q25-42,IF(BE24="BLUM",Q25-42,IF(BE24="Hettich Actro",Q25-42,IF(BE24="SALICE",Q25-42,IF(BE24="GRASS",Q25-42,IF(AND(BE24="A ROTELLA",AG24=15),Q25-55,IF(AND(BE24="A ROTELLA",AG24=14),Q25-53," "))))))))</f>
        <v xml:space="preserve"> </v>
      </c>
      <c r="AN25" s="373"/>
      <c r="AO25" s="373"/>
      <c r="AP25" s="373"/>
      <c r="AQ25" s="373"/>
      <c r="AR25" s="373"/>
      <c r="AS25" s="374"/>
      <c r="AT25" s="410"/>
      <c r="AU25" s="411"/>
      <c r="AV25" s="411"/>
      <c r="AW25" s="412"/>
      <c r="AX25" s="419"/>
      <c r="AY25" s="420"/>
      <c r="AZ25" s="421"/>
      <c r="BA25" s="428"/>
      <c r="BB25" s="429"/>
      <c r="BC25" s="429"/>
      <c r="BD25" s="430"/>
      <c r="BE25" s="391" t="str">
        <f>IF(AND($P$12="A ROTELLA",$O25&gt;0),"DEL CLIENTE",IF(AND($P$12="A ROTELLA GRIGIA",$O25&gt;0),"VPA GRIGIA",IF(AND($P$12&gt;1,$O25&gt;0),"PRED. C/MAN"," ")))</f>
        <v xml:space="preserve"> </v>
      </c>
      <c r="BF25" s="392"/>
      <c r="BG25" s="392"/>
      <c r="BH25" s="393"/>
      <c r="BI25" s="26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</row>
    <row r="26" spans="1:82" s="1" customFormat="1" ht="18" customHeight="1">
      <c r="A26" s="181"/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473"/>
      <c r="M26" s="541"/>
      <c r="N26" s="507"/>
      <c r="O26" s="467"/>
      <c r="P26" s="342"/>
      <c r="Q26" s="338"/>
      <c r="R26" s="339"/>
      <c r="S26" s="339"/>
      <c r="T26" s="339"/>
      <c r="U26" s="339"/>
      <c r="V26" s="340"/>
      <c r="W26" s="468"/>
      <c r="X26" s="454"/>
      <c r="Y26" s="397" t="s">
        <v>2</v>
      </c>
      <c r="Z26" s="398"/>
      <c r="AA26" s="398"/>
      <c r="AB26" s="399"/>
      <c r="AC26" s="399"/>
      <c r="AD26" s="400"/>
      <c r="AE26" s="401">
        <f>SUM(O25)</f>
        <v>0</v>
      </c>
      <c r="AF26" s="402"/>
      <c r="AG26" s="403">
        <f>IF(AND(AT24="NOB"),DATI!$C$12,IF(AND(AT24="MULT",BA24="FAGGIO LUCIDO"),DATI!$B$13,IF(AND(AT24="MULT",BA24="FRASSINO SBIANCATO BORDATO"),DATI!$B$12,IF(AND(AT24="MULT",BA24="SBIANCATO NO BORDO"),DATI!$B$12,IF(AND(AT24="MULT",BA24="LAMINATO BIANCO"),DATI!$B$12,IF(AND(AT24="MULT",BA24="ROVERE LUCIDO"),DATI!$C$12,IF(AND(AT24="MULT",BA24="ROVERE GREZZO"),DATI!$C$12,IF(AND(AT24="MASS"),DATI!$B$13,0))))))))</f>
        <v>0</v>
      </c>
      <c r="AH26" s="404"/>
      <c r="AI26" s="405"/>
      <c r="AJ26" s="401"/>
      <c r="AK26" s="406"/>
      <c r="AL26" s="402"/>
      <c r="AM26" s="440" t="str">
        <f>IF(OR($P$14="3 CON FRONTALE",$P$14="3 LATI"),AM24,IF(AND($W$15="SFILABILE DIETRO",AG24=14),AM24-8,IF(AND($W$15="SFILABILE DIETRO",AG24=15),AM24-9,IF(AND($W$15="SFILABILE DAVANTI",AG16=14),AM24-8,IF(AND($W$15="SFILABILE DAVANTI",AG24=15),AM24-9,IF(AND(AX24=3),AM24,IF(AND(BA24="FAGGIO GREZZO",AT24="MASS"),AM24-AG24+6,IF(AND(BA24="ROVERE GREZZO",AT24="MULT"),AM24-AG24+6,IF(AND(AX24=3),AM24,IF(AND(AT24="MULT",AG24=15),AM24-17,IF(AND(AT24="NOB"),AM24-17," ")))))))))))</f>
        <v xml:space="preserve"> </v>
      </c>
      <c r="AN26" s="441"/>
      <c r="AO26" s="441"/>
      <c r="AP26" s="17" t="s">
        <v>11</v>
      </c>
      <c r="AQ26" s="441" t="str">
        <f>IF(AND(AT24="MULT",AG24=15),AM25+11,IF(AND(AT24="MULT",AG24=12),AM25+10,IF(AND(AT24="NOB",AG24=14),AM25+10,IF(AND(AT24="MASS",AG24=14),AM25+10," "))))</f>
        <v xml:space="preserve"> </v>
      </c>
      <c r="AR26" s="441"/>
      <c r="AS26" s="453"/>
      <c r="AT26" s="413"/>
      <c r="AU26" s="414"/>
      <c r="AV26" s="414"/>
      <c r="AW26" s="415"/>
      <c r="AX26" s="422"/>
      <c r="AY26" s="423"/>
      <c r="AZ26" s="424"/>
      <c r="BA26" s="431"/>
      <c r="BB26" s="432"/>
      <c r="BC26" s="432"/>
      <c r="BD26" s="433"/>
      <c r="BE26" s="394"/>
      <c r="BF26" s="395"/>
      <c r="BG26" s="395"/>
      <c r="BH26" s="396"/>
      <c r="BI26" s="26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</row>
    <row r="27" spans="1:82" ht="15" customHeight="1" thickBot="1">
      <c r="A27" s="493" t="s">
        <v>128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6"/>
      <c r="M27" s="6"/>
      <c r="N27" s="198"/>
      <c r="O27" s="32"/>
      <c r="P27" s="6"/>
      <c r="Q27" s="6"/>
      <c r="R27" s="6"/>
      <c r="S27" s="6"/>
      <c r="T27" s="6"/>
      <c r="U27" s="6"/>
      <c r="V27" s="6"/>
      <c r="W27" s="33"/>
      <c r="X27" s="123"/>
      <c r="Y27" s="385" t="str">
        <f>IF($AM27="FRONTALE A FILO SOPRA","FRONTALE","")</f>
        <v/>
      </c>
      <c r="Z27" s="386"/>
      <c r="AA27" s="386"/>
      <c r="AB27" s="381" t="str">
        <f>IF($AM27="FRONTALE A FILO SOPRA",$AB24,"")</f>
        <v/>
      </c>
      <c r="AC27" s="381"/>
      <c r="AD27" s="381"/>
      <c r="AE27" s="381" t="str">
        <f>IF($AM27="FRONTALE A FILO SOPRA",$AE26,"")</f>
        <v/>
      </c>
      <c r="AF27" s="381"/>
      <c r="AG27" s="381" t="str">
        <f>IF($AM27="FRONTALE A FILO SOPRA",$AG24,"")</f>
        <v/>
      </c>
      <c r="AH27" s="381"/>
      <c r="AI27" s="381"/>
      <c r="AJ27" s="381" t="str">
        <f>IF($AM27="FRONTALE A FILO SOPRA",$AJ24+20,"")</f>
        <v/>
      </c>
      <c r="AK27" s="381"/>
      <c r="AL27" s="381"/>
      <c r="AM27" s="387" t="str">
        <f>IF(AND($P$14="3 CON FRONTALE",$O25&gt;0),"FRONTALE A FILO SOPRA"," ")</f>
        <v xml:space="preserve"> </v>
      </c>
      <c r="AN27" s="387"/>
      <c r="AO27" s="387"/>
      <c r="AP27" s="387"/>
      <c r="AQ27" s="387"/>
      <c r="AR27" s="387"/>
      <c r="AS27" s="387"/>
      <c r="AT27" s="387"/>
      <c r="AU27" s="387"/>
      <c r="AV27" s="387"/>
      <c r="AW27" s="387"/>
      <c r="AX27" s="387"/>
      <c r="AY27" s="387"/>
      <c r="AZ27" s="387"/>
      <c r="BA27" s="381"/>
      <c r="BB27" s="381"/>
      <c r="BC27" s="381"/>
      <c r="BD27" s="381"/>
      <c r="BE27" s="381"/>
      <c r="BF27" s="381"/>
      <c r="BG27" s="381"/>
      <c r="BH27" s="382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</row>
    <row r="28" spans="1:82" s="1" customFormat="1" ht="18" customHeight="1">
      <c r="A28" s="494" t="s">
        <v>145</v>
      </c>
      <c r="B28" s="495"/>
      <c r="C28" s="495"/>
      <c r="D28" s="495"/>
      <c r="E28" s="495"/>
      <c r="F28" s="495"/>
      <c r="G28"/>
      <c r="H28"/>
      <c r="I28" s="183" t="s">
        <v>125</v>
      </c>
      <c r="J28" s="496">
        <v>21</v>
      </c>
      <c r="K28" s="497"/>
      <c r="L28" s="8"/>
      <c r="M28" s="8"/>
      <c r="N28" s="39"/>
      <c r="O28" s="29" t="s">
        <v>3</v>
      </c>
      <c r="P28" s="34" t="s">
        <v>28</v>
      </c>
      <c r="Q28" s="362" t="s">
        <v>20</v>
      </c>
      <c r="R28" s="363"/>
      <c r="S28" s="363"/>
      <c r="T28" s="363"/>
      <c r="U28" s="363"/>
      <c r="V28" s="364"/>
      <c r="W28" s="35" t="s">
        <v>29</v>
      </c>
      <c r="X28" s="454" t="s">
        <v>19</v>
      </c>
      <c r="Y28" s="455" t="s">
        <v>0</v>
      </c>
      <c r="Z28" s="456"/>
      <c r="AA28" s="456"/>
      <c r="AB28" s="457">
        <f>IF(AND(AG28=15),AM29+30,IF(AND(AG28=12),AM29+24,IF(AND(AG28=14),AM29+28,IF(AND(AG28=13),AM29+26,0))))</f>
        <v>0</v>
      </c>
      <c r="AC28" s="457"/>
      <c r="AD28" s="458"/>
      <c r="AE28" s="459">
        <f>AE30*2</f>
        <v>0</v>
      </c>
      <c r="AF28" s="460"/>
      <c r="AG28" s="461">
        <f>IF(AND(AT28="NOB"),DATI!$C$11,IF(AND(AT28="MULT"),DATI!$B$11,IF(AND(AT28="MASS"),DATI!$C$11,0)))</f>
        <v>0</v>
      </c>
      <c r="AH28" s="462"/>
      <c r="AI28" s="463"/>
      <c r="AJ28" s="464">
        <f>SUM(W29)</f>
        <v>0</v>
      </c>
      <c r="AK28" s="465"/>
      <c r="AL28" s="466"/>
      <c r="AM28" s="464" t="str">
        <f>IF(AND(BE28="HETTICH"),P29,IF(OR(BE28="BLUM                                                    DEL CLIENTE",BE28="BLUM",BE28="Hettich Actro"),P29-10,IF(AND(BE28="GRASS"),P29-10,IF(AND(BE28="SALICE"),P29-10,IF(AND(BE28="A ROTELLA"),P29," ")))))</f>
        <v xml:space="preserve"> </v>
      </c>
      <c r="AN28" s="465"/>
      <c r="AO28" s="465"/>
      <c r="AP28" s="465"/>
      <c r="AQ28" s="465"/>
      <c r="AR28" s="465"/>
      <c r="AS28" s="466"/>
      <c r="AT28" s="407" t="str">
        <f>IF(AND($P$11="MULTISTRATO",$O29&lt;&gt;0),"MULT",IF(AND($P$11="MASSELLO",$O29&lt;&gt;0),"MASS",IF(AND($P$11="NOBILITATO",$O29&lt;&gt;0),"NOB"," ")))</f>
        <v xml:space="preserve"> </v>
      </c>
      <c r="AU28" s="408"/>
      <c r="AV28" s="408"/>
      <c r="AW28" s="409"/>
      <c r="AX28" s="416" t="str">
        <f>IF(AND($P$14="3 CON FRONTALE",$O29&gt;0),"3",IF(AND($P$14="3 LATI",$O29&gt;0),"3",IF(AND($P$14="4 SENZA FORI",$O29&gt;0),"4",IF(AND($P$14="4 LATI CON FORI",$O29&gt;0),"4",""))))</f>
        <v/>
      </c>
      <c r="AY28" s="417"/>
      <c r="AZ28" s="418"/>
      <c r="BA28" s="425" t="str">
        <f>IF($O29=0," ",$Q$11)</f>
        <v xml:space="preserve"> </v>
      </c>
      <c r="BB28" s="426"/>
      <c r="BC28" s="426"/>
      <c r="BD28" s="427"/>
      <c r="BE28" s="434" t="str">
        <f>IF(AND(ISNUMBER(FIND("A ROTELLA",$P$12)),$O29&gt;0),"A ROTELLA",IF(AND(ISNUMBER(FIND("ACTRO",$P$12)),$O29&gt;0),"Hettich Actro",IF(AND(ISNUMBER(FIND("QUADRO",$P$12)),$O29&gt;0),"HETTICH",IF(AND($P$12&gt;0,$O29&gt;0),$P$12," "))))</f>
        <v xml:space="preserve"> </v>
      </c>
      <c r="BF28" s="435"/>
      <c r="BG28" s="435"/>
      <c r="BH28" s="436"/>
      <c r="BI28" s="12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</row>
    <row r="29" spans="1:82" s="1" customFormat="1" ht="18" customHeight="1">
      <c r="A29" s="182"/>
      <c r="B29" s="133"/>
      <c r="C29" s="139"/>
      <c r="D29"/>
      <c r="E29"/>
      <c r="F29"/>
      <c r="G29"/>
      <c r="H29"/>
      <c r="I29" s="184"/>
      <c r="J29" s="139"/>
      <c r="K29"/>
      <c r="L29" s="472" t="b">
        <f>IF(AND($P29=250),250,IF(AND($P29&gt;250,$P29&lt;301),300,IF(AND($P29&gt;=301,$P29&lt;351),350,IF(AND($P29&gt;=351,$P29&lt;401),400,IF(AND($P29&gt;=401,$P29&lt;451),450,IF(AND($P29&gt;=451,$P29&lt;501),500,IF(AND($P29&gt;=501,$P29&lt;551),550,IF(AND($P29&gt;=551,$P29&lt;601),600,IF(AND($P29&gt;=601,$P29&lt;651),650,IF(AND($P29&gt;=651,$P29&lt;701),700,IF(AND($P29&gt;=701,$P29&lt;751),750,IF(AND($P29&gt;=751,$P29&lt;801),800,IF(AND($P29&gt;=801,$P29&lt;901),900)))))))))))))</f>
        <v>0</v>
      </c>
      <c r="M29" s="540">
        <f>IF($W$15="NO",0,($L29*$Q29)/1000000*$Q$67)</f>
        <v>0</v>
      </c>
      <c r="N29" s="506" t="b">
        <f>IF($Q$11="SBIANCATO NO BORDO",INDEX($A$5:$K$23,MATCH($Q$11,$A$5:$A$23,0),MATCH(W29,$A$5:$K$5,0)),IF($Q$11="SBIANCATO BORDATO",INDEX($A$5:$K$23,MATCH($Q$11,$A$5:$A$23,0),MATCH(W29,$A$5:$K$5,0)),IF($Q$11="LAMINATO BIANCO",INDEX($A$5:$K$23,MATCH($Q$11,$A$5:$A$23,0),MATCH(W29,$A$5:$K$5,0)),IF($Q$11="ROVERE GREZZO",INDEX($A$5:$K$23,MATCH($Q$11,$A$5:$A$23,0),MATCH(W29,$A$5:$K$5,0)),IF($Q$11="ROVERE VERNICIATO",INDEX($A$5:$K$23,MATCH($Q$11,$A$5:$A$23,0),MATCH(W29,$A$5:$K$5,0)),IF($Q$11="FAGGIO LUCIDO",INDEX($A$5:$K$23,MATCH($Q$11,$A$5:$A$23,0),MATCH(W29,$A$5:$K$5,0)),IF($Q$11="FRASSINO SBIANCATO BORDATO",INDEX($A$5:$K$23,MATCH($Q$11,$A$5:$A$23,0),MATCH(W29,$A$5:$K$5,0)),IF($P$11="NOBILITATO",INDEX($A$5:$K$23,MATCH($P$11,$A$5:$A$23,0),MATCH(W29,$A$5:$K$5,0))))))))))</f>
        <v>0</v>
      </c>
      <c r="O29" s="442">
        <f>MODULO!$AN$15</f>
        <v>0</v>
      </c>
      <c r="P29" s="341">
        <f>MODULO!$AR$15</f>
        <v>0</v>
      </c>
      <c r="Q29" s="335">
        <f>MODULO!$AV$15</f>
        <v>0</v>
      </c>
      <c r="R29" s="336"/>
      <c r="S29" s="336"/>
      <c r="T29" s="336"/>
      <c r="U29" s="336"/>
      <c r="V29" s="337"/>
      <c r="W29" s="448">
        <f>MODULO!$AZ$15</f>
        <v>0</v>
      </c>
      <c r="X29" s="454"/>
      <c r="Y29" s="450" t="s">
        <v>1</v>
      </c>
      <c r="Z29" s="451"/>
      <c r="AA29" s="451"/>
      <c r="AB29" s="451"/>
      <c r="AC29" s="451"/>
      <c r="AD29" s="452"/>
      <c r="AE29" s="372">
        <f>IF(AX28="4",AE30*2,IF(AND(AX28="3"),AE30*1,0))</f>
        <v>0</v>
      </c>
      <c r="AF29" s="374"/>
      <c r="AG29" s="437">
        <f>SUM(AG28)</f>
        <v>0</v>
      </c>
      <c r="AH29" s="438"/>
      <c r="AI29" s="439"/>
      <c r="AJ29" s="369">
        <f>SUM(W29)</f>
        <v>0</v>
      </c>
      <c r="AK29" s="370"/>
      <c r="AL29" s="371"/>
      <c r="AM29" s="372" t="str">
        <f>IF(BE28="HETTICH",Q29-40,IF(BE28="BLUM                                                    DEL CLIENTE",Q29-42,IF(BE28="BLUM",Q29-42,IF(BE28="Hettich Actro",Q29-42,IF(BE28="SALICE",Q29-42,IF(BE28="GRASS",Q29-42,IF(AND(BE28="A ROTELLA",AG28=15),Q29-55,IF(AND(BE28="A ROTELLA",AG28=14),Q29-53," "))))))))</f>
        <v xml:space="preserve"> </v>
      </c>
      <c r="AN29" s="373"/>
      <c r="AO29" s="373"/>
      <c r="AP29" s="373"/>
      <c r="AQ29" s="373"/>
      <c r="AR29" s="373"/>
      <c r="AS29" s="374"/>
      <c r="AT29" s="410"/>
      <c r="AU29" s="411"/>
      <c r="AV29" s="411"/>
      <c r="AW29" s="412"/>
      <c r="AX29" s="419"/>
      <c r="AY29" s="420"/>
      <c r="AZ29" s="421"/>
      <c r="BA29" s="428"/>
      <c r="BB29" s="429"/>
      <c r="BC29" s="429"/>
      <c r="BD29" s="430"/>
      <c r="BE29" s="391" t="str">
        <f>IF(AND($P$12="A ROTELLA",$O29&gt;0),"DEL CLIENTE",IF(AND($P$12="A ROTELLA GRIGIA",$O29&gt;0),"VPA GRIGIA",IF(AND($P$12&gt;1,$O29&gt;0),"PRED. C/MAN"," ")))</f>
        <v xml:space="preserve"> </v>
      </c>
      <c r="BF29" s="392"/>
      <c r="BG29" s="392"/>
      <c r="BH29" s="393"/>
      <c r="BI29" s="26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</row>
    <row r="30" spans="1:82" s="1" customFormat="1" ht="18" customHeight="1">
      <c r="A30" s="498" t="s">
        <v>112</v>
      </c>
      <c r="B30" s="499"/>
      <c r="C30" s="499"/>
      <c r="D30" s="499"/>
      <c r="E30" s="499"/>
      <c r="F30" s="499"/>
      <c r="G30"/>
      <c r="H30"/>
      <c r="I30" s="183" t="s">
        <v>40</v>
      </c>
      <c r="J30" s="496">
        <v>41</v>
      </c>
      <c r="K30" s="497"/>
      <c r="L30" s="473"/>
      <c r="M30" s="541"/>
      <c r="N30" s="507"/>
      <c r="O30" s="467"/>
      <c r="P30" s="342"/>
      <c r="Q30" s="338"/>
      <c r="R30" s="339"/>
      <c r="S30" s="339"/>
      <c r="T30" s="339"/>
      <c r="U30" s="339"/>
      <c r="V30" s="340"/>
      <c r="W30" s="468"/>
      <c r="X30" s="454"/>
      <c r="Y30" s="397" t="s">
        <v>2</v>
      </c>
      <c r="Z30" s="398"/>
      <c r="AA30" s="398"/>
      <c r="AB30" s="399"/>
      <c r="AC30" s="399"/>
      <c r="AD30" s="400"/>
      <c r="AE30" s="401">
        <f>SUM(O29)</f>
        <v>0</v>
      </c>
      <c r="AF30" s="402"/>
      <c r="AG30" s="403">
        <f>IF(AND(AT28="NOB"),DATI!$C$12,IF(AND(AT28="MULT",BA28="FAGGIO LUCIDO"),DATI!$B$13,IF(AND(AT28="MULT",BA28="FRASSINO SBIANCATO BORDATO"),DATI!$B$12,IF(AND(AT28="MULT",BA28="SBIANCATO NO BORDO"),DATI!$B$12,IF(AND(AT28="MULT",BA28="LAMINATO BIANCO"),DATI!$B$12,IF(AND(AT28="MULT",BA28="ROVERE LUCIDO"),DATI!$C$12,IF(AND(AT28="MULT",BA28="ROVERE GREZZO"),DATI!$C$12,IF(AND(AT28="MASS"),DATI!$B$13,0))))))))</f>
        <v>0</v>
      </c>
      <c r="AH30" s="404"/>
      <c r="AI30" s="405"/>
      <c r="AJ30" s="401"/>
      <c r="AK30" s="406"/>
      <c r="AL30" s="402"/>
      <c r="AM30" s="440" t="str">
        <f>IF(OR($P$14="3 CON FRONTALE",$P$14="3 LATI"),AM28,IF(AND($W$15="SFILABILE DIETRO",AG28=14),AM28-8,IF(AND($W$15="SFILABILE DIETRO",AG28=15),AM28-9,IF(AND($W$15="SFILABILE DAVANTI",AG28=14),AM28-8,IF(AND($W$15="SFILABILE DAVANTI",AG28=15),AM28-9,IF(AND(AX28=3),AM28,IF(AND(BA28="FAGGIO GREZZO",AT28="MASS"),AM28-AG28+6,IF(AND(BA28="ROVERE GREZZO",AT28="MULT"),AM28-AG28+6,IF(AND(AX28=3),AM28,IF(AND(AT28="MULT",AG28=15),AM28-17,IF(AND(AT28="NOB"),AM28-17," ")))))))))))</f>
        <v xml:space="preserve"> </v>
      </c>
      <c r="AN30" s="441"/>
      <c r="AO30" s="441"/>
      <c r="AP30" s="17" t="s">
        <v>11</v>
      </c>
      <c r="AQ30" s="441" t="str">
        <f>IF(AND(AT28="MULT",AG28=15),AM29+11,IF(AND(AT28="MULT",AG28=12),AM29+10,IF(AND(AT28="NOB",AG28=14),AM29+10,IF(AND(AT28="MASS",AG28=14),AM29+10," "))))</f>
        <v xml:space="preserve"> </v>
      </c>
      <c r="AR30" s="441"/>
      <c r="AS30" s="453"/>
      <c r="AT30" s="413"/>
      <c r="AU30" s="414"/>
      <c r="AV30" s="414"/>
      <c r="AW30" s="415"/>
      <c r="AX30" s="422"/>
      <c r="AY30" s="423"/>
      <c r="AZ30" s="424"/>
      <c r="BA30" s="431"/>
      <c r="BB30" s="432"/>
      <c r="BC30" s="432"/>
      <c r="BD30" s="433"/>
      <c r="BE30" s="394"/>
      <c r="BF30" s="395"/>
      <c r="BG30" s="395"/>
      <c r="BH30" s="396"/>
      <c r="BI30" s="26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</row>
    <row r="31" spans="1:82" s="1" customFormat="1" ht="15" customHeight="1" thickBot="1">
      <c r="A31" s="182"/>
      <c r="B31" s="133"/>
      <c r="C31" s="139"/>
      <c r="D31"/>
      <c r="E31"/>
      <c r="F31"/>
      <c r="G31"/>
      <c r="H31"/>
      <c r="I31" s="184"/>
      <c r="J31" s="139"/>
      <c r="K31"/>
      <c r="L31" s="8"/>
      <c r="M31" s="8"/>
      <c r="N31" s="39"/>
      <c r="O31" s="32"/>
      <c r="P31" s="6"/>
      <c r="Q31" s="6"/>
      <c r="R31" s="6"/>
      <c r="S31" s="6"/>
      <c r="T31" s="6"/>
      <c r="U31" s="6"/>
      <c r="V31" s="6"/>
      <c r="W31" s="33"/>
      <c r="X31" s="4"/>
      <c r="Y31" s="385" t="str">
        <f>IF($AM31="FRONTALE A FILO SOPRA","FRONTALE","")</f>
        <v/>
      </c>
      <c r="Z31" s="386"/>
      <c r="AA31" s="386"/>
      <c r="AB31" s="381" t="str">
        <f>IF($AM31="FRONTALE A FILO SOPRA",$AB28,"")</f>
        <v/>
      </c>
      <c r="AC31" s="381"/>
      <c r="AD31" s="381"/>
      <c r="AE31" s="381" t="str">
        <f>IF($AM31="FRONTALE A FILO SOPRA",$AE30,"")</f>
        <v/>
      </c>
      <c r="AF31" s="381"/>
      <c r="AG31" s="381" t="str">
        <f>IF($AM31="FRONTALE A FILO SOPRA",$AG28,"")</f>
        <v/>
      </c>
      <c r="AH31" s="381"/>
      <c r="AI31" s="381"/>
      <c r="AJ31" s="381" t="str">
        <f>IF($AM31="FRONTALE A FILO SOPRA",$AJ28+20,"")</f>
        <v/>
      </c>
      <c r="AK31" s="381"/>
      <c r="AL31" s="381"/>
      <c r="AM31" s="387" t="str">
        <f>IF(AND($P$14="3 CON FRONTALE",$O29&gt;0),"FRONTALE A FILO SOPRA"," ")</f>
        <v xml:space="preserve"> </v>
      </c>
      <c r="AN31" s="387"/>
      <c r="AO31" s="387"/>
      <c r="AP31" s="387"/>
      <c r="AQ31" s="387"/>
      <c r="AR31" s="387"/>
      <c r="AS31" s="387"/>
      <c r="AT31" s="387"/>
      <c r="AU31" s="387"/>
      <c r="AV31" s="387"/>
      <c r="AW31" s="387"/>
      <c r="AX31" s="387"/>
      <c r="AY31" s="387"/>
      <c r="AZ31" s="387"/>
      <c r="BA31" s="381"/>
      <c r="BB31" s="381"/>
      <c r="BC31" s="381"/>
      <c r="BD31" s="381"/>
      <c r="BE31" s="381"/>
      <c r="BF31" s="381"/>
      <c r="BG31" s="381"/>
      <c r="BH31" s="382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</row>
    <row r="32" spans="1:82" s="1" customFormat="1" ht="18" customHeight="1">
      <c r="A32" s="498" t="s">
        <v>33</v>
      </c>
      <c r="B32" s="499"/>
      <c r="C32" s="499"/>
      <c r="D32" s="499"/>
      <c r="E32" s="499"/>
      <c r="F32" s="499"/>
      <c r="G32"/>
      <c r="H32"/>
      <c r="I32" s="183" t="s">
        <v>40</v>
      </c>
      <c r="J32" s="496">
        <v>38</v>
      </c>
      <c r="K32" s="497"/>
      <c r="L32" s="8"/>
      <c r="M32" s="7"/>
      <c r="N32" s="126"/>
      <c r="O32" s="29" t="s">
        <v>3</v>
      </c>
      <c r="P32" s="34" t="s">
        <v>28</v>
      </c>
      <c r="Q32" s="362" t="s">
        <v>20</v>
      </c>
      <c r="R32" s="363"/>
      <c r="S32" s="363"/>
      <c r="T32" s="363"/>
      <c r="U32" s="363"/>
      <c r="V32" s="364"/>
      <c r="W32" s="35" t="s">
        <v>29</v>
      </c>
      <c r="X32" s="454" t="s">
        <v>22</v>
      </c>
      <c r="Y32" s="455" t="s">
        <v>0</v>
      </c>
      <c r="Z32" s="456"/>
      <c r="AA32" s="456"/>
      <c r="AB32" s="457">
        <f>IF(AND(AG32=15),AM33+30,IF(AND(AG32=12),AM33+24,IF(AND(AG32=14),AM33+28,IF(AND(AG32=13),AM33+26,0))))</f>
        <v>0</v>
      </c>
      <c r="AC32" s="457"/>
      <c r="AD32" s="458"/>
      <c r="AE32" s="459">
        <f>AE34*2</f>
        <v>0</v>
      </c>
      <c r="AF32" s="460"/>
      <c r="AG32" s="461">
        <f>IF(AND(AT32="NOB"),DATI!$C$11,IF(AND(AT32="MULT"),DATI!$B$11,IF(AND(AT32="MASS"),DATI!$C$11,0)))</f>
        <v>0</v>
      </c>
      <c r="AH32" s="462"/>
      <c r="AI32" s="463"/>
      <c r="AJ32" s="464">
        <f>SUM(W33)</f>
        <v>0</v>
      </c>
      <c r="AK32" s="465"/>
      <c r="AL32" s="466"/>
      <c r="AM32" s="464" t="str">
        <f>IF(AND(BE32="HETTICH"),P33,IF(OR(BE32="BLUM                                                    DEL CLIENTE",BE32="BLUM",BE32="Hettich Actro"),P33-10,IF(AND(BE32="GRASS"),P33-10,IF(AND(BE32="SALICE"),P33-10,IF(AND(BE32="A ROTELLA"),P33," ")))))</f>
        <v xml:space="preserve"> </v>
      </c>
      <c r="AN32" s="465"/>
      <c r="AO32" s="465"/>
      <c r="AP32" s="465"/>
      <c r="AQ32" s="465"/>
      <c r="AR32" s="465"/>
      <c r="AS32" s="466"/>
      <c r="AT32" s="407" t="str">
        <f>IF(AND($P$11="MULTISTRATO",$O33&lt;&gt;0),"MULT",IF(AND($P$11="MASSELLO",$O33&lt;&gt;0),"MASS",IF(AND($P$11="NOBILITATO",$O33&lt;&gt;0),"NOB"," ")))</f>
        <v xml:space="preserve"> </v>
      </c>
      <c r="AU32" s="408"/>
      <c r="AV32" s="408"/>
      <c r="AW32" s="409"/>
      <c r="AX32" s="416" t="str">
        <f>IF(AND($P$14="3 CON FRONTALE",$O33&gt;0),"3",IF(AND($P$14="3 LATI",$O33&gt;0),"3",IF(AND($P$14="4 SENZA FORI",$O33&gt;0),"4",IF(AND($P$14="4 LATI CON FORI",$O33&gt;0),"4",""))))</f>
        <v/>
      </c>
      <c r="AY32" s="417"/>
      <c r="AZ32" s="418"/>
      <c r="BA32" s="425" t="str">
        <f>IF($O33=0," ",$Q$11)</f>
        <v xml:space="preserve"> </v>
      </c>
      <c r="BB32" s="426"/>
      <c r="BC32" s="426"/>
      <c r="BD32" s="427"/>
      <c r="BE32" s="434" t="str">
        <f>IF(AND(ISNUMBER(FIND("A ROTELLA",$P$12)),$O33&gt;0),"A ROTELLA",IF(AND(ISNUMBER(FIND("ACTRO",$P$12)),$O33&gt;0),"Hettich Actro",IF(AND(ISNUMBER(FIND("QUADRO",$P$12)),$O33&gt;0),"HETTICH",IF(AND($P$12&gt;0,$O33&gt;0),$P$12," "))))</f>
        <v xml:space="preserve"> </v>
      </c>
      <c r="BF32" s="435"/>
      <c r="BG32" s="435"/>
      <c r="BH32" s="436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</row>
    <row r="33" spans="1:82" s="1" customFormat="1" ht="18" customHeight="1">
      <c r="A33" s="185"/>
      <c r="B33" s="132"/>
      <c r="C33" s="138"/>
      <c r="D33"/>
      <c r="E33"/>
      <c r="F33"/>
      <c r="G33"/>
      <c r="H33"/>
      <c r="I33" s="183" t="s">
        <v>39</v>
      </c>
      <c r="J33" s="496">
        <v>43.2</v>
      </c>
      <c r="K33" s="497"/>
      <c r="L33" s="472" t="b">
        <f>IF(AND($P33=250),250,IF(AND($P33&gt;250,$P33&lt;301),300,IF(AND($P33&gt;=301,$P33&lt;351),350,IF(AND($P33&gt;=351,$P33&lt;401),400,IF(AND($P33&gt;=401,$P33&lt;451),450,IF(AND($P33&gt;=451,$P33&lt;501),500,IF(AND($P33&gt;=501,$P33&lt;551),550,IF(AND($P33&gt;=551,$P33&lt;601),600,IF(AND($P33&gt;=601,$P33&lt;651),650,IF(AND($P33&gt;=651,$P33&lt;701),700,IF(AND($P33&gt;=701,$P33&lt;751),750,IF(AND($P33&gt;=751,$P33&lt;801),800,IF(AND($P33&gt;=801,$P33&lt;901),900)))))))))))))</f>
        <v>0</v>
      </c>
      <c r="M33" s="540">
        <f>IF($W$15="NO",0,($L33*$Q33)/1000000*$Q$67)</f>
        <v>0</v>
      </c>
      <c r="N33" s="506" t="b">
        <f>IF($Q$11="SBIANCATO NO BORDO",INDEX($A$5:$K$23,MATCH($Q$11,$A$5:$A$23,0),MATCH(W33,$A$5:$K$5,0)),IF($Q$11="SBIANCATO BORDATO",INDEX($A$5:$K$23,MATCH($Q$11,$A$5:$A$23,0),MATCH(W33,$A$5:$K$5,0)),IF($Q$11="LAMINATO BIANCO",INDEX($A$5:$K$23,MATCH($Q$11,$A$5:$A$23,0),MATCH(W33,$A$5:$K$5,0)),IF($Q$11="ROVERE GREZZO",INDEX($A$5:$K$23,MATCH($Q$11,$A$5:$A$23,0),MATCH(W33,$A$5:$K$5,0)),IF($Q$11="ROVERE VERNICIATO",INDEX($A$5:$K$23,MATCH($Q$11,$A$5:$A$23,0),MATCH(W33,$A$5:$K$5,0)),IF($Q$11="FAGGIO LUCIDO",INDEX($A$5:$K$23,MATCH($Q$11,$A$5:$A$23,0),MATCH(W33,$A$5:$K$5,0)),IF($Q$11="FRASSINO SBIANCATO BORDATO",INDEX($A$5:$K$23,MATCH($Q$11,$A$5:$A$23,0),MATCH(W33,$A$5:$K$5,0)),IF($P$11="NOBILITATO",INDEX($A$5:$K$23,MATCH($P$11,$A$5:$A$23,0),MATCH(W33,$A$5:$K$5,0))))))))))</f>
        <v>0</v>
      </c>
      <c r="O33" s="442">
        <f>MODULO!$AN$17</f>
        <v>0</v>
      </c>
      <c r="P33" s="341">
        <f>MODULO!$AR$17</f>
        <v>0</v>
      </c>
      <c r="Q33" s="335">
        <f>MODULO!$AV$17</f>
        <v>0</v>
      </c>
      <c r="R33" s="336"/>
      <c r="S33" s="336"/>
      <c r="T33" s="336"/>
      <c r="U33" s="336"/>
      <c r="V33" s="337"/>
      <c r="W33" s="448">
        <f>MODULO!$AZ$17</f>
        <v>0</v>
      </c>
      <c r="X33" s="454"/>
      <c r="Y33" s="450" t="s">
        <v>1</v>
      </c>
      <c r="Z33" s="451"/>
      <c r="AA33" s="451"/>
      <c r="AB33" s="451"/>
      <c r="AC33" s="451"/>
      <c r="AD33" s="452"/>
      <c r="AE33" s="372">
        <f>IF(AX32="4",AE34*2,IF(AND(AX32="3"),AE34*1,0))</f>
        <v>0</v>
      </c>
      <c r="AF33" s="374"/>
      <c r="AG33" s="437">
        <f>SUM(AG32)</f>
        <v>0</v>
      </c>
      <c r="AH33" s="438"/>
      <c r="AI33" s="439"/>
      <c r="AJ33" s="369">
        <f>SUM(W33)</f>
        <v>0</v>
      </c>
      <c r="AK33" s="370"/>
      <c r="AL33" s="371"/>
      <c r="AM33" s="372" t="str">
        <f>IF(BE32="HETTICH",Q33-40,IF(BE32="BLUM                                                    DEL CLIENTE",Q33-42,IF(BE32="BLUM",Q33-42,IF(BE32="Hettich Actro",Q33-42,IF(BE32="SALICE",Q33-42,IF(BE32="GRASS",Q33-42,IF(AND(BE32="A ROTELLA",AG32=15),Q33-55,IF(AND(BE32="A ROTELLA",AG32=14),Q33-53," "))))))))</f>
        <v xml:space="preserve"> </v>
      </c>
      <c r="AN33" s="373"/>
      <c r="AO33" s="373"/>
      <c r="AP33" s="373"/>
      <c r="AQ33" s="373"/>
      <c r="AR33" s="373"/>
      <c r="AS33" s="374"/>
      <c r="AT33" s="410"/>
      <c r="AU33" s="411"/>
      <c r="AV33" s="411"/>
      <c r="AW33" s="412"/>
      <c r="AX33" s="419"/>
      <c r="AY33" s="420"/>
      <c r="AZ33" s="421"/>
      <c r="BA33" s="428"/>
      <c r="BB33" s="429"/>
      <c r="BC33" s="429"/>
      <c r="BD33" s="430"/>
      <c r="BE33" s="391" t="str">
        <f>IF(AND($P$12="A ROTELLA",$O33&gt;0),"DEL CLIENTE",IF(AND($P$12="A ROTELLA GRIGIA",$O33&gt;0),"VPA GRIGIA",IF(AND($P$12&gt;1,$O33&gt;0),"PRED. C/MAN"," ")))</f>
        <v xml:space="preserve"> </v>
      </c>
      <c r="BF33" s="392"/>
      <c r="BG33" s="392"/>
      <c r="BH33" s="393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</row>
    <row r="34" spans="1:82" s="1" customFormat="1" ht="18" customHeight="1">
      <c r="A34" s="182"/>
      <c r="B34" s="133"/>
      <c r="C34" s="139"/>
      <c r="D34"/>
      <c r="E34"/>
      <c r="F34"/>
      <c r="G34"/>
      <c r="H34"/>
      <c r="I34" s="184"/>
      <c r="J34" s="139"/>
      <c r="K34"/>
      <c r="L34" s="473"/>
      <c r="M34" s="541"/>
      <c r="N34" s="507"/>
      <c r="O34" s="467"/>
      <c r="P34" s="342"/>
      <c r="Q34" s="338"/>
      <c r="R34" s="339"/>
      <c r="S34" s="339"/>
      <c r="T34" s="339"/>
      <c r="U34" s="339"/>
      <c r="V34" s="340"/>
      <c r="W34" s="468"/>
      <c r="X34" s="454"/>
      <c r="Y34" s="397" t="s">
        <v>2</v>
      </c>
      <c r="Z34" s="398"/>
      <c r="AA34" s="398"/>
      <c r="AB34" s="399"/>
      <c r="AC34" s="399"/>
      <c r="AD34" s="400"/>
      <c r="AE34" s="401">
        <f>SUM(O33)</f>
        <v>0</v>
      </c>
      <c r="AF34" s="402"/>
      <c r="AG34" s="403">
        <f>IF(AND(AT32="NOB"),DATI!$C$12,IF(AND(AT32="MULT",BA32="FAGGIO LUCIDO"),DATI!$B$13,IF(AND(AT32="MULT",BA32="FRASSINO SBIANCATO BORDATO"),DATI!$B$12,IF(AND(AT32="MULT",BA32="SBIANCATO NO BORDO"),DATI!$B$12,IF(AND(AT32="MULT",BA32="LAMINATO BIANCO"),DATI!$B$12,IF(AND(AT32="MULT",BA32="ROVERE LUCIDO"),DATI!$C$12,IF(AND(AT32="MULT",BA32="ROVERE GREZZO"),DATI!$C$12,IF(AND(AT32="MASS"),DATI!$B$13,0))))))))</f>
        <v>0</v>
      </c>
      <c r="AH34" s="404"/>
      <c r="AI34" s="405"/>
      <c r="AJ34" s="401"/>
      <c r="AK34" s="406"/>
      <c r="AL34" s="402"/>
      <c r="AM34" s="440" t="str">
        <f>IF(OR($P$14="3 CON FRONTALE",$P$14="3 LATI"),AM32,IF(AND($W$15="SFILABILE DIETRO",AG32=14),AM32-8,IF(AND($W$15="SFILABILE DIETRO",AG32=15),AM32-9,IF(AND($W$15="SFILABILE DAVANTI",AG32=14),AM32-8,IF(AND($W$15="SFILABILE DAVANTI",AG32=15),AM32-9,IF(AND(AX32=3),AM32,IF(AND(BA32="FAGGIO GREZZO",AT32="MASS"),AM32-AG32+6,IF(AND(BA32="ROVERE GREZZO",AT32="MULT"),AM32-AG32+6,IF(AND(AX32=3),AM32,IF(AND(AT32="MULT",AG32=15),AM32-17,IF(AND(AT32="NOB"),AM32-17," ")))))))))))</f>
        <v xml:space="preserve"> </v>
      </c>
      <c r="AN34" s="441"/>
      <c r="AO34" s="441"/>
      <c r="AP34" s="17" t="s">
        <v>11</v>
      </c>
      <c r="AQ34" s="441" t="str">
        <f>IF(AND(AT32="MULT",AG32=15),AM33+11,IF(AND(AT32="MULT",AG32=12),AM33+10,IF(AND(AT32="NOB",AG32=14),AM33+10,IF(AND(AT32="MASS",AG32=14),AM33+10," "))))</f>
        <v xml:space="preserve"> </v>
      </c>
      <c r="AR34" s="441"/>
      <c r="AS34" s="453"/>
      <c r="AT34" s="413"/>
      <c r="AU34" s="414"/>
      <c r="AV34" s="414"/>
      <c r="AW34" s="415"/>
      <c r="AX34" s="422"/>
      <c r="AY34" s="423"/>
      <c r="AZ34" s="424"/>
      <c r="BA34" s="431"/>
      <c r="BB34" s="432"/>
      <c r="BC34" s="432"/>
      <c r="BD34" s="433"/>
      <c r="BE34" s="394"/>
      <c r="BF34" s="395"/>
      <c r="BG34" s="395"/>
      <c r="BH34" s="396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</row>
    <row r="35" spans="1:82" ht="15" customHeight="1" thickBot="1">
      <c r="A35" s="186" t="s">
        <v>34</v>
      </c>
      <c r="B35" s="132"/>
      <c r="C35" s="138"/>
      <c r="I35" s="183" t="s">
        <v>40</v>
      </c>
      <c r="J35" s="496">
        <v>30</v>
      </c>
      <c r="K35" s="497"/>
      <c r="L35" s="6"/>
      <c r="M35" s="8"/>
      <c r="N35" s="126"/>
      <c r="O35" s="32"/>
      <c r="P35" s="6"/>
      <c r="Q35" s="6"/>
      <c r="R35" s="6"/>
      <c r="S35" s="6"/>
      <c r="T35" s="6"/>
      <c r="U35" s="6"/>
      <c r="V35" s="6"/>
      <c r="W35" s="33"/>
      <c r="X35" s="123"/>
      <c r="Y35" s="385" t="str">
        <f>IF($AM35="FRONTALE A FILO SOPRA","FRONTALE","")</f>
        <v/>
      </c>
      <c r="Z35" s="386"/>
      <c r="AA35" s="386"/>
      <c r="AB35" s="381" t="str">
        <f>IF($AM35="FRONTALE A FILO SOPRA",$AB32,"")</f>
        <v/>
      </c>
      <c r="AC35" s="381"/>
      <c r="AD35" s="381"/>
      <c r="AE35" s="381" t="str">
        <f>IF($AM35="FRONTALE A FILO SOPRA",$AE34,"")</f>
        <v/>
      </c>
      <c r="AF35" s="381"/>
      <c r="AG35" s="381" t="str">
        <f>IF($AM35="FRONTALE A FILO SOPRA",$AG32,"")</f>
        <v/>
      </c>
      <c r="AH35" s="381"/>
      <c r="AI35" s="381"/>
      <c r="AJ35" s="381" t="str">
        <f>IF($AM35="FRONTALE A FILO SOPRA",$AJ32+20,"")</f>
        <v/>
      </c>
      <c r="AK35" s="381"/>
      <c r="AL35" s="381"/>
      <c r="AM35" s="387" t="str">
        <f>IF(AND($P$14="3 CON FRONTALE",$O33&gt;0),"FRONTALE A FILO SOPRA"," ")</f>
        <v xml:space="preserve"> </v>
      </c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7"/>
      <c r="AY35" s="387"/>
      <c r="AZ35" s="387"/>
      <c r="BA35" s="381"/>
      <c r="BB35" s="381"/>
      <c r="BC35" s="381"/>
      <c r="BD35" s="381"/>
      <c r="BE35" s="381"/>
      <c r="BF35" s="381"/>
      <c r="BG35" s="381"/>
      <c r="BH35" s="382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</row>
    <row r="36" spans="1:82" ht="18" customHeight="1">
      <c r="A36" s="185"/>
      <c r="B36" s="132"/>
      <c r="C36" s="138"/>
      <c r="I36" s="183" t="s">
        <v>39</v>
      </c>
      <c r="J36" s="496">
        <v>35</v>
      </c>
      <c r="K36" s="497"/>
      <c r="L36" s="8"/>
      <c r="M36" s="8"/>
      <c r="N36" s="127"/>
      <c r="O36" s="29" t="s">
        <v>3</v>
      </c>
      <c r="P36" s="34" t="s">
        <v>28</v>
      </c>
      <c r="Q36" s="362" t="s">
        <v>20</v>
      </c>
      <c r="R36" s="363"/>
      <c r="S36" s="363"/>
      <c r="T36" s="363"/>
      <c r="U36" s="363"/>
      <c r="V36" s="364"/>
      <c r="W36" s="35" t="s">
        <v>29</v>
      </c>
      <c r="X36" s="454" t="s">
        <v>23</v>
      </c>
      <c r="Y36" s="455" t="s">
        <v>0</v>
      </c>
      <c r="Z36" s="456"/>
      <c r="AA36" s="456"/>
      <c r="AB36" s="457">
        <f>IF(AND(AG36=15),AM37+30,IF(AND(AG36=12),AM37+24,IF(AND(AG36=14),AM37+28,IF(AND(AG36=13),AM37+26,0))))</f>
        <v>0</v>
      </c>
      <c r="AC36" s="457"/>
      <c r="AD36" s="458"/>
      <c r="AE36" s="459">
        <f>AE38*2</f>
        <v>0</v>
      </c>
      <c r="AF36" s="460"/>
      <c r="AG36" s="461">
        <f>IF(AND(AT36="NOB"),DATI!$C$11,IF(AND(AT36="MULT"),DATI!$B$11,IF(AND(AT36="MASS"),DATI!$C$11,0)))</f>
        <v>0</v>
      </c>
      <c r="AH36" s="462"/>
      <c r="AI36" s="463"/>
      <c r="AJ36" s="464">
        <f>SUM(W37)</f>
        <v>0</v>
      </c>
      <c r="AK36" s="465"/>
      <c r="AL36" s="466"/>
      <c r="AM36" s="464" t="str">
        <f>IF(AND(BE36="HETTICH"),P37,IF(OR(BE36="BLUM                                                    DEL CLIENTE",BE36="BLUM",BE36="Hettich Actro"),P37-10,IF(AND(BE36="GRASS"),P37-10,IF(AND(BE36="SALICE"),P37-10,IF(AND(BE36="A ROTELLA"),P37," ")))))</f>
        <v xml:space="preserve"> </v>
      </c>
      <c r="AN36" s="465"/>
      <c r="AO36" s="465"/>
      <c r="AP36" s="465"/>
      <c r="AQ36" s="465"/>
      <c r="AR36" s="465"/>
      <c r="AS36" s="466"/>
      <c r="AT36" s="407" t="str">
        <f>IF(AND($P$11="MULTISTRATO",$O37&lt;&gt;0),"MULT",IF(AND($P$11="MASSELLO",$O37&lt;&gt;0),"MASS",IF(AND($P$11="NOBILITATO",$O37&lt;&gt;0),"NOB"," ")))</f>
        <v xml:space="preserve"> </v>
      </c>
      <c r="AU36" s="408"/>
      <c r="AV36" s="408"/>
      <c r="AW36" s="409"/>
      <c r="AX36" s="416" t="str">
        <f>IF(AND($P$14="3 CON FRONTALE",$O37&gt;0),"3",IF(AND($P$14="3 LATI",$O37&gt;0),"3",IF(AND($P$14="4 SENZA FORI",$O37&gt;0),"4",IF(AND($P$14="4 LATI CON FORI",$O37&gt;0),"4",""))))</f>
        <v/>
      </c>
      <c r="AY36" s="417"/>
      <c r="AZ36" s="418"/>
      <c r="BA36" s="425" t="str">
        <f>IF($O37=0," ",$Q$11)</f>
        <v xml:space="preserve"> </v>
      </c>
      <c r="BB36" s="426"/>
      <c r="BC36" s="426"/>
      <c r="BD36" s="427"/>
      <c r="BE36" s="434" t="str">
        <f>IF(AND(ISNUMBER(FIND("A ROTELLA",$P$12)),$O37&gt;0),"A ROTELLA",IF(AND(ISNUMBER(FIND("ACTRO",$P$12)),$O37&gt;0),"Hettich Actro",IF(AND(ISNUMBER(FIND("QUADRO",$P$12)),$O37&gt;0),"HETTICH",IF(AND($P$12&gt;0,$O37&gt;0),$P$12," "))))</f>
        <v xml:space="preserve"> </v>
      </c>
      <c r="BF36" s="435"/>
      <c r="BG36" s="435"/>
      <c r="BH36" s="43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</row>
    <row r="37" spans="1:82" ht="18" customHeight="1">
      <c r="A37" s="182"/>
      <c r="B37" s="133"/>
      <c r="C37" s="139"/>
      <c r="I37" s="184"/>
      <c r="J37" s="139"/>
      <c r="L37" s="472" t="b">
        <f>IF(AND($P37=250),250,IF(AND($P37&gt;250,$P37&lt;301),300,IF(AND($P37&gt;=301,$P37&lt;351),350,IF(AND($P37&gt;=351,$P37&lt;401),400,IF(AND($P37&gt;=401,$P37&lt;451),450,IF(AND($P37&gt;=451,$P37&lt;501),500,IF(AND($P37&gt;=501,$P37&lt;551),550,IF(AND($P37&gt;=551,$P37&lt;601),600,IF(AND($P37&gt;=601,$P37&lt;651),650,IF(AND($P37&gt;=651,$P37&lt;701),700,IF(AND($P37&gt;=701,$P37&lt;751),750,IF(AND($P37&gt;=751,$P37&lt;801),800,IF(AND($P37&gt;=801,$P37&lt;901),900)))))))))))))</f>
        <v>0</v>
      </c>
      <c r="M37" s="540">
        <f>IF($W$15="NO",0,($L37*$Q37)/1000000*$Q$67)</f>
        <v>0</v>
      </c>
      <c r="N37" s="506" t="b">
        <f>IF($Q$11="SBIANCATO NO BORDO",INDEX($A$5:$K$23,MATCH($Q$11,$A$5:$A$23,0),MATCH(W37,$A$5:$K$5,0)),IF($Q$11="SBIANCATO BORDATO",INDEX($A$5:$K$23,MATCH($Q$11,$A$5:$A$23,0),MATCH(W37,$A$5:$K$5,0)),IF($Q$11="LAMINATO BIANCO",INDEX($A$5:$K$23,MATCH($Q$11,$A$5:$A$23,0),MATCH(W37,$A$5:$K$5,0)),IF($Q$11="ROVERE GREZZO",INDEX($A$5:$K$23,MATCH($Q$11,$A$5:$A$23,0),MATCH(W37,$A$5:$K$5,0)),IF($Q$11="ROVERE VERNICIATO",INDEX($A$5:$K$23,MATCH($Q$11,$A$5:$A$23,0),MATCH(W37,$A$5:$K$5,0)),IF($Q$11="FAGGIO LUCIDO",INDEX($A$5:$K$23,MATCH($Q$11,$A$5:$A$23,0),MATCH(W37,$A$5:$K$5,0)),IF($Q$11="FRASSINO SBIANCATO BORDATO",INDEX($A$5:$K$23,MATCH($Q$11,$A$5:$A$23,0),MATCH(W37,$A$5:$K$5,0)),IF($P$11="NOBILITATO",INDEX($A$5:$K$23,MATCH($P$11,$A$5:$A$23,0),MATCH(W37,$A$5:$K$5,0))))))))))</f>
        <v>0</v>
      </c>
      <c r="O37" s="442">
        <f>MODULO!$AN$19</f>
        <v>0</v>
      </c>
      <c r="P37" s="341">
        <f>MODULO!$AR$19</f>
        <v>0</v>
      </c>
      <c r="Q37" s="335">
        <f>MODULO!$AV$19</f>
        <v>0</v>
      </c>
      <c r="R37" s="336"/>
      <c r="S37" s="336"/>
      <c r="T37" s="336"/>
      <c r="U37" s="336"/>
      <c r="V37" s="337"/>
      <c r="W37" s="448">
        <f>MODULO!$AZ$19</f>
        <v>0</v>
      </c>
      <c r="X37" s="454"/>
      <c r="Y37" s="450" t="s">
        <v>1</v>
      </c>
      <c r="Z37" s="451"/>
      <c r="AA37" s="451"/>
      <c r="AB37" s="451"/>
      <c r="AC37" s="451"/>
      <c r="AD37" s="452"/>
      <c r="AE37" s="372">
        <f>IF(AX36="4",AE38*2,IF(AND(AX36="3"),AE38*1,0))</f>
        <v>0</v>
      </c>
      <c r="AF37" s="374"/>
      <c r="AG37" s="437">
        <f>SUM(AG36)</f>
        <v>0</v>
      </c>
      <c r="AH37" s="438"/>
      <c r="AI37" s="439"/>
      <c r="AJ37" s="369">
        <f>SUM(W37)</f>
        <v>0</v>
      </c>
      <c r="AK37" s="370"/>
      <c r="AL37" s="371"/>
      <c r="AM37" s="372" t="str">
        <f>IF(BE36="HETTICH",Q37-40,IF(BE36="BLUM                                                    DEL CLIENTE",Q37-42,IF(BE36="BLUM",Q37-42,IF(BE36="Hettich Actro",Q37-42,IF(BE36="SALICE",Q37-42,IF(BE36="GRASS",Q37-42,IF(AND(BE36="A ROTELLA",AG36=15),Q37-55,IF(AND(BE36="A ROTELLA",AG36=14),Q37-53," "))))))))</f>
        <v xml:space="preserve"> </v>
      </c>
      <c r="AN37" s="373"/>
      <c r="AO37" s="373"/>
      <c r="AP37" s="373"/>
      <c r="AQ37" s="373"/>
      <c r="AR37" s="373"/>
      <c r="AS37" s="374"/>
      <c r="AT37" s="410"/>
      <c r="AU37" s="411"/>
      <c r="AV37" s="411"/>
      <c r="AW37" s="412"/>
      <c r="AX37" s="419"/>
      <c r="AY37" s="420"/>
      <c r="AZ37" s="421"/>
      <c r="BA37" s="428"/>
      <c r="BB37" s="429"/>
      <c r="BC37" s="429"/>
      <c r="BD37" s="430"/>
      <c r="BE37" s="391" t="str">
        <f>IF(AND($P$12="A ROTELLA",$O37&gt;0),"DEL CLIENTE",IF(AND($P$12="A ROTELLA GRIGIA",$O37&gt;0),"VPA GRIGIA",IF(AND($P$12&gt;1,$O37&gt;0),"PRED. C/MAN"," ")))</f>
        <v xml:space="preserve"> </v>
      </c>
      <c r="BF37" s="392"/>
      <c r="BG37" s="392"/>
      <c r="BH37" s="393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</row>
    <row r="38" spans="1:82" ht="18" customHeight="1">
      <c r="A38" s="187" t="s">
        <v>126</v>
      </c>
      <c r="B38" s="132"/>
      <c r="C38" s="138"/>
      <c r="I38" s="183" t="s">
        <v>41</v>
      </c>
      <c r="J38" s="496">
        <v>22.05</v>
      </c>
      <c r="K38" s="497"/>
      <c r="L38" s="473"/>
      <c r="M38" s="541"/>
      <c r="N38" s="507"/>
      <c r="O38" s="467"/>
      <c r="P38" s="342"/>
      <c r="Q38" s="338"/>
      <c r="R38" s="339"/>
      <c r="S38" s="339"/>
      <c r="T38" s="339"/>
      <c r="U38" s="339"/>
      <c r="V38" s="340"/>
      <c r="W38" s="468"/>
      <c r="X38" s="454"/>
      <c r="Y38" s="397" t="s">
        <v>2</v>
      </c>
      <c r="Z38" s="398"/>
      <c r="AA38" s="398"/>
      <c r="AB38" s="399"/>
      <c r="AC38" s="399"/>
      <c r="AD38" s="400"/>
      <c r="AE38" s="401">
        <f>SUM(O37)</f>
        <v>0</v>
      </c>
      <c r="AF38" s="402"/>
      <c r="AG38" s="403">
        <f>IF(AND(AT36="NOB"),DATI!$C$12,IF(AND(AT36="MULT",BA36="FAGGIO LUCIDO"),DATI!$B$13,IF(AND(AT36="MULT",BA36="FRASSINO SBIANCATO BORDATO"),DATI!$B$12,IF(AND(AT36="MULT",BA36="SBIANCATO NO BORDO"),DATI!$B$12,IF(AND(AT36="MULT",BA36="LAMINATO BIANCO"),DATI!$B$12,IF(AND(AT36="MULT",BA36="ROVERE LUCIDO"),DATI!$C$12,IF(AND(AT36="MULT",BA36="ROVERE GREZZO"),DATI!$C$12,IF(AND(AT36="MASS"),DATI!$B$13,0))))))))</f>
        <v>0</v>
      </c>
      <c r="AH38" s="404"/>
      <c r="AI38" s="405"/>
      <c r="AJ38" s="401"/>
      <c r="AK38" s="406"/>
      <c r="AL38" s="402"/>
      <c r="AM38" s="440" t="str">
        <f>IF(OR($P$14="3 CON FRONTALE",$P$14="3 LATI"),AM36,IF(AND($W$15="SFILABILE DIETRO",AG36=14),AM36-8,IF(AND($W$15="SFILABILE DIETRO",AG36=15),AM36-9,IF(AND($W$15="SFILABILE DAVANTI",AG36=14),AM36-8,IF(AND($W$15="SFILABILE DAVANTI",AG36=15),AM36-9,IF(AND(AX36=3),AM36,IF(AND(BA36="FAGGIO GREZZO",AT36="MASS"),AM36-AG36+6,IF(AND(BA36="ROVERE GREZZO",AT36="MULT"),AM36-AG36+6,IF(AND(AX36=3),AM36,IF(AND(AT36="MULT",AG36=15),AM36-17,IF(AND(AT36="NOB"),AM36-17," ")))))))))))</f>
        <v xml:space="preserve"> </v>
      </c>
      <c r="AN38" s="441"/>
      <c r="AO38" s="441"/>
      <c r="AP38" s="17" t="s">
        <v>11</v>
      </c>
      <c r="AQ38" s="441" t="str">
        <f>IF(AND(AT36="MULT",AG36=15),AM37+11,IF(AND(AT36="MULT",AG36=12),AM37+10,IF(AND(AT36="NOB",AG36=14),AM37+10,IF(AND(AT36="MASS",AG36=14),AM37+10," "))))</f>
        <v xml:space="preserve"> </v>
      </c>
      <c r="AR38" s="441"/>
      <c r="AS38" s="453"/>
      <c r="AT38" s="413"/>
      <c r="AU38" s="414"/>
      <c r="AV38" s="414"/>
      <c r="AW38" s="415"/>
      <c r="AX38" s="422"/>
      <c r="AY38" s="423"/>
      <c r="AZ38" s="424"/>
      <c r="BA38" s="431"/>
      <c r="BB38" s="432"/>
      <c r="BC38" s="432"/>
      <c r="BD38" s="433"/>
      <c r="BE38" s="394"/>
      <c r="BF38" s="395"/>
      <c r="BG38" s="395"/>
      <c r="BH38" s="39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</row>
    <row r="39" spans="1:82" ht="15" customHeight="1" thickBot="1">
      <c r="A39" s="188"/>
      <c r="B39" s="134"/>
      <c r="C39" s="139"/>
      <c r="I39" s="189"/>
      <c r="J39" s="139"/>
      <c r="L39" s="6"/>
      <c r="M39" s="6"/>
      <c r="N39" s="39"/>
      <c r="O39" s="32"/>
      <c r="P39" s="6"/>
      <c r="Q39" s="6"/>
      <c r="R39" s="6"/>
      <c r="S39" s="6"/>
      <c r="T39" s="6"/>
      <c r="U39" s="6"/>
      <c r="V39" s="6"/>
      <c r="W39" s="33"/>
      <c r="X39" s="122"/>
      <c r="Y39" s="385" t="str">
        <f>IF($AM39="FRONTALE A FILO SOPRA","FRONTALE","")</f>
        <v/>
      </c>
      <c r="Z39" s="386"/>
      <c r="AA39" s="386"/>
      <c r="AB39" s="381" t="str">
        <f>IF($AM39="FRONTALE A FILO SOPRA",$AB36,"")</f>
        <v/>
      </c>
      <c r="AC39" s="381"/>
      <c r="AD39" s="381"/>
      <c r="AE39" s="381" t="str">
        <f>IF($AM39="FRONTALE A FILO SOPRA",$AE38,"")</f>
        <v/>
      </c>
      <c r="AF39" s="381"/>
      <c r="AG39" s="381" t="str">
        <f>IF($AM39="FRONTALE A FILO SOPRA",$AG36,"")</f>
        <v/>
      </c>
      <c r="AH39" s="381"/>
      <c r="AI39" s="381"/>
      <c r="AJ39" s="381" t="str">
        <f>IF($AM39="FRONTALE A FILO SOPRA",$AJ36+20,"")</f>
        <v/>
      </c>
      <c r="AK39" s="381"/>
      <c r="AL39" s="381"/>
      <c r="AM39" s="387" t="str">
        <f>IF(AND($P$14="3 CON FRONTALE",$O37&gt;0),"FRONTALE A FILO SOPRA"," ")</f>
        <v xml:space="preserve"> </v>
      </c>
      <c r="AN39" s="387"/>
      <c r="AO39" s="387"/>
      <c r="AP39" s="387"/>
      <c r="AQ39" s="387"/>
      <c r="AR39" s="387"/>
      <c r="AS39" s="387"/>
      <c r="AT39" s="387"/>
      <c r="AU39" s="387"/>
      <c r="AV39" s="387"/>
      <c r="AW39" s="387"/>
      <c r="AX39" s="387"/>
      <c r="AY39" s="387"/>
      <c r="AZ39" s="387"/>
      <c r="BA39" s="381"/>
      <c r="BB39" s="381"/>
      <c r="BC39" s="381"/>
      <c r="BD39" s="381"/>
      <c r="BE39" s="381"/>
      <c r="BF39" s="381"/>
      <c r="BG39" s="381"/>
      <c r="BH39" s="382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</row>
    <row r="40" spans="1:82" ht="18" customHeight="1">
      <c r="A40" s="519" t="s">
        <v>113</v>
      </c>
      <c r="B40" s="132"/>
      <c r="C40" s="138"/>
      <c r="I40" s="183" t="s">
        <v>41</v>
      </c>
      <c r="J40" s="496">
        <v>17</v>
      </c>
      <c r="K40" s="497"/>
      <c r="L40" s="8"/>
      <c r="M40" s="6"/>
      <c r="N40" s="126"/>
      <c r="O40" s="29" t="s">
        <v>3</v>
      </c>
      <c r="P40" s="34" t="s">
        <v>28</v>
      </c>
      <c r="Q40" s="362" t="s">
        <v>20</v>
      </c>
      <c r="R40" s="363"/>
      <c r="S40" s="363"/>
      <c r="T40" s="363"/>
      <c r="U40" s="363"/>
      <c r="V40" s="364"/>
      <c r="W40" s="35" t="s">
        <v>29</v>
      </c>
      <c r="X40" s="454" t="s">
        <v>24</v>
      </c>
      <c r="Y40" s="455" t="s">
        <v>0</v>
      </c>
      <c r="Z40" s="456"/>
      <c r="AA40" s="456"/>
      <c r="AB40" s="457">
        <f>IF(AND(AG40=15),AM41+30,IF(AND(AG40=12),AM41+24,IF(AND(AG40=14),AM41+28,IF(AND(AG40=13),AM41+26,0))))</f>
        <v>0</v>
      </c>
      <c r="AC40" s="457"/>
      <c r="AD40" s="458"/>
      <c r="AE40" s="459">
        <f>AE42*2</f>
        <v>0</v>
      </c>
      <c r="AF40" s="460"/>
      <c r="AG40" s="461">
        <f>IF(AND(AT40="NOB"),DATI!$C$11,IF(AND(AT40="MULT"),DATI!$B$11,IF(AND(AT40="MASS"),DATI!$C$11,0)))</f>
        <v>0</v>
      </c>
      <c r="AH40" s="462"/>
      <c r="AI40" s="463"/>
      <c r="AJ40" s="464">
        <f>SUM(W41)</f>
        <v>0</v>
      </c>
      <c r="AK40" s="465"/>
      <c r="AL40" s="466"/>
      <c r="AM40" s="464" t="str">
        <f>IF(AND(BE40="HETTICH"),P41,IF(OR(BE40="BLUM                                                    DEL CLIENTE",BE40="BLUM",BE40="Hettich Actro"),P41-10,IF(AND(BE40="GRASS"),P41-10,IF(AND(BE40="SALICE"),P41-10,IF(AND(BE40="A ROTELLA"),P41," ")))))</f>
        <v xml:space="preserve"> </v>
      </c>
      <c r="AN40" s="465"/>
      <c r="AO40" s="465"/>
      <c r="AP40" s="465"/>
      <c r="AQ40" s="465"/>
      <c r="AR40" s="465"/>
      <c r="AS40" s="466"/>
      <c r="AT40" s="407" t="str">
        <f>IF(AND($P$11="MULTISTRATO",$O41&lt;&gt;0),"MULT",IF(AND($P$11="MASSELLO",$O41&lt;&gt;0),"MASS",IF(AND($P$11="NOBILITATO",$O41&lt;&gt;0),"NOB"," ")))</f>
        <v xml:space="preserve"> </v>
      </c>
      <c r="AU40" s="408"/>
      <c r="AV40" s="408"/>
      <c r="AW40" s="409"/>
      <c r="AX40" s="416" t="str">
        <f>IF(AND($P$14="3 CON FRONTALE",$O41&gt;0),"3",IF(AND($P$14="3 LATI",$O41&gt;0),"3",IF(AND($P$14="4 SENZA FORI",$O41&gt;0),"4",IF(AND($P$14="4 LATI CON FORI",$O41&gt;0),"4",""))))</f>
        <v/>
      </c>
      <c r="AY40" s="417"/>
      <c r="AZ40" s="418"/>
      <c r="BA40" s="425" t="str">
        <f>IF($O41=0," ",$Q$11)</f>
        <v xml:space="preserve"> </v>
      </c>
      <c r="BB40" s="426"/>
      <c r="BC40" s="426"/>
      <c r="BD40" s="427"/>
      <c r="BE40" s="434" t="str">
        <f>IF(AND(ISNUMBER(FIND("A ROTELLA",$P$12)),$O41&gt;0),"A ROTELLA",IF(AND(ISNUMBER(FIND("ACTRO",$P$12)),$O41&gt;0),"Hettich Actro",IF(AND(ISNUMBER(FIND("QUADRO",$P$12)),$O41&gt;0),"HETTICH",IF(AND($P$12&gt;0,$O41&gt;0),$P$12," "))))</f>
        <v xml:space="preserve"> </v>
      </c>
      <c r="BF40" s="435"/>
      <c r="BG40" s="435"/>
      <c r="BH40" s="43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</row>
    <row r="41" spans="1:82" ht="18" customHeight="1">
      <c r="A41" s="520"/>
      <c r="B41" s="132"/>
      <c r="C41" s="138"/>
      <c r="I41" s="183" t="s">
        <v>127</v>
      </c>
      <c r="J41" s="496">
        <v>22</v>
      </c>
      <c r="K41" s="497"/>
      <c r="L41" s="472" t="b">
        <f>IF(AND($P41=250),250,IF(AND($P41&gt;250,$P41&lt;301),300,IF(AND($P41&gt;=301,$P41&lt;351),350,IF(AND($P41&gt;=351,$P41&lt;401),400,IF(AND($P41&gt;=401,$P41&lt;451),450,IF(AND($P41&gt;=451,$P41&lt;501),500,IF(AND($P41&gt;=501,$P41&lt;551),550,IF(AND($P41&gt;=551,$P41&lt;601),600,IF(AND($P41&gt;=601,$P41&lt;651),650,IF(AND($P41&gt;=651,$P41&lt;701),700,IF(AND($P41&gt;=701,$P41&lt;751),750,IF(AND($P41&gt;=751,$P41&lt;801),800,IF(AND($P41&gt;=801,$P41&lt;901),900)))))))))))))</f>
        <v>0</v>
      </c>
      <c r="M41" s="540">
        <f>IF($W$15="NO",0,($L41*$Q41)/1000000*$Q$67)</f>
        <v>0</v>
      </c>
      <c r="N41" s="506" t="b">
        <f>IF($Q$11="SBIANCATO NO BORDO",INDEX($A$5:$K$23,MATCH($Q$11,$A$5:$A$23,0),MATCH(W41,$A$5:$K$5,0)),IF($Q$11="SBIANCATO BORDATO",INDEX($A$5:$K$23,MATCH($Q$11,$A$5:$A$23,0),MATCH(W41,$A$5:$K$5,0)),IF($Q$11="LAMINATO BIANCO",INDEX($A$5:$K$23,MATCH($Q$11,$A$5:$A$23,0),MATCH(W41,$A$5:$K$5,0)),IF($Q$11="ROVERE GREZZO",INDEX($A$5:$K$23,MATCH($Q$11,$A$5:$A$23,0),MATCH(W41,$A$5:$K$5,0)),IF($Q$11="ROVERE VERNICIATO",INDEX($A$5:$K$23,MATCH($Q$11,$A$5:$A$23,0),MATCH(W41,$A$5:$K$5,0)),IF($Q$11="FAGGIO LUCIDO",INDEX($A$5:$K$23,MATCH($Q$11,$A$5:$A$23,0),MATCH(W41,$A$5:$K$5,0)),IF($Q$11="FRASSINO SBIANCATO BORDATO",INDEX($A$5:$K$23,MATCH($Q$11,$A$5:$A$23,0),MATCH(W41,$A$5:$K$5,0)),IF($P$11="NOBILITATO",INDEX($A$5:$K$23,MATCH($P$11,$A$5:$A$23,0),MATCH(W41,$A$5:$K$5,0))))))))))</f>
        <v>0</v>
      </c>
      <c r="O41" s="442">
        <f>MODULO!$AN$21</f>
        <v>0</v>
      </c>
      <c r="P41" s="341">
        <f>MODULO!$AR$21</f>
        <v>0</v>
      </c>
      <c r="Q41" s="335">
        <f>MODULO!$AV$21</f>
        <v>0</v>
      </c>
      <c r="R41" s="336"/>
      <c r="S41" s="336"/>
      <c r="T41" s="336"/>
      <c r="U41" s="336"/>
      <c r="V41" s="337"/>
      <c r="W41" s="448">
        <f>MODULO!$AZ$21</f>
        <v>0</v>
      </c>
      <c r="X41" s="454"/>
      <c r="Y41" s="450" t="s">
        <v>1</v>
      </c>
      <c r="Z41" s="451"/>
      <c r="AA41" s="451"/>
      <c r="AB41" s="451"/>
      <c r="AC41" s="451"/>
      <c r="AD41" s="452"/>
      <c r="AE41" s="372">
        <f>IF(AX40="4",AE42*2,IF(AND(AX40="3"),AE42*1,0))</f>
        <v>0</v>
      </c>
      <c r="AF41" s="374"/>
      <c r="AG41" s="437">
        <f>SUM(AG40)</f>
        <v>0</v>
      </c>
      <c r="AH41" s="438"/>
      <c r="AI41" s="439"/>
      <c r="AJ41" s="369">
        <f>SUM(W41)</f>
        <v>0</v>
      </c>
      <c r="AK41" s="370"/>
      <c r="AL41" s="371"/>
      <c r="AM41" s="372" t="str">
        <f>IF(BE40="HETTICH",Q41-40,IF(BE40="BLUM                                                    DEL CLIENTE",Q41-42,IF(BE40="BLUM",Q41-42,IF(BE40="Hettich Actro",Q41-42,IF(BE40="SALICE",Q41-42,IF(BE40="GRASS",Q41-42,IF(AND(BE40="A ROTELLA",AG40=15),Q41-55,IF(AND(BE40="A ROTELLA",AG40=14),Q41-53," "))))))))</f>
        <v xml:space="preserve"> </v>
      </c>
      <c r="AN41" s="373"/>
      <c r="AO41" s="373"/>
      <c r="AP41" s="373"/>
      <c r="AQ41" s="373"/>
      <c r="AR41" s="373"/>
      <c r="AS41" s="374"/>
      <c r="AT41" s="410"/>
      <c r="AU41" s="411"/>
      <c r="AV41" s="411"/>
      <c r="AW41" s="412"/>
      <c r="AX41" s="419"/>
      <c r="AY41" s="420"/>
      <c r="AZ41" s="421"/>
      <c r="BA41" s="428"/>
      <c r="BB41" s="429"/>
      <c r="BC41" s="429"/>
      <c r="BD41" s="430"/>
      <c r="BE41" s="391" t="str">
        <f>IF(AND($P$12="A ROTELLA",$O41&gt;0),"DEL CLIENTE",IF(AND($P$12="A ROTELLA GRIGIA",$O41&gt;0),"VPA GRIGIA",IF(AND($P$12&gt;1,$O41&gt;0),"PRED. C/MAN"," ")))</f>
        <v xml:space="preserve"> </v>
      </c>
      <c r="BF41" s="392"/>
      <c r="BG41" s="392"/>
      <c r="BH41" s="393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</row>
    <row r="42" spans="1:82" s="2" customFormat="1" ht="18" customHeight="1" thickBot="1">
      <c r="A42" s="190"/>
      <c r="B42" s="135"/>
      <c r="C42" s="140"/>
      <c r="D42"/>
      <c r="E42"/>
      <c r="F42"/>
      <c r="G42"/>
      <c r="H42"/>
      <c r="I42"/>
      <c r="J42"/>
      <c r="K42"/>
      <c r="L42" s="473"/>
      <c r="M42" s="541"/>
      <c r="N42" s="507"/>
      <c r="O42" s="467"/>
      <c r="P42" s="342"/>
      <c r="Q42" s="338"/>
      <c r="R42" s="339"/>
      <c r="S42" s="339"/>
      <c r="T42" s="339"/>
      <c r="U42" s="339"/>
      <c r="V42" s="340"/>
      <c r="W42" s="468"/>
      <c r="X42" s="454"/>
      <c r="Y42" s="397" t="s">
        <v>2</v>
      </c>
      <c r="Z42" s="398"/>
      <c r="AA42" s="398"/>
      <c r="AB42" s="399"/>
      <c r="AC42" s="399"/>
      <c r="AD42" s="400"/>
      <c r="AE42" s="401">
        <f>SUM(O41)</f>
        <v>0</v>
      </c>
      <c r="AF42" s="402"/>
      <c r="AG42" s="403">
        <f>IF(AND(AT40="NOB"),DATI!$C$12,IF(AND(AT40="MULT",BA40="FAGGIO LUCIDO"),DATI!$B$13,IF(AND(AT40="MULT",BA40="FRASSINO SBIANCATO BORDATO"),DATI!$B$12,IF(AND(AT40="MULT",BA40="SBIANCATO NO BORDO"),DATI!$B$12,IF(AND(AT40="MULT",BA40="LAMINATO BIANCO"),DATI!$B$12,IF(AND(AT40="MULT",BA40="ROVERE LUCIDO"),DATI!$C$12,IF(AND(AT40="MULT",BA40="ROVERE GREZZO"),DATI!$C$12,IF(AND(AT40="MASS"),DATI!$B$13,0))))))))</f>
        <v>0</v>
      </c>
      <c r="AH42" s="404"/>
      <c r="AI42" s="405"/>
      <c r="AJ42" s="401"/>
      <c r="AK42" s="406"/>
      <c r="AL42" s="402"/>
      <c r="AM42" s="440" t="str">
        <f>IF(OR($P$14="3 CON FRONTALE",$P$14="3 LATI"),AM40,IF(AND($W$15="SFILABILE DIETRO",AG40=14),AM40-8,IF(AND($W$15="SFILABILE DIETRO",AG40=15),AM40-9,IF(AND($W$15="SFILABILE DAVANTI",AG40=14),AM40-8,IF(AND($W$15="SFILABILE DAVANTI",AG40=15),AM40-9,IF(AND(AX40=3),AM40,IF(AND(BA40="FAGGIO GREZZO",AT40="MASS"),AM40-AG40+6,IF(AND(BA40="ROVERE GREZZO",AT40="MULT"),AM40-AG40+6,IF(AND(AX40=3),AM40,IF(AND(AT40="MULT",AG40=15),AM40-17,IF(AND(AT40="NOB"),AM40-17," ")))))))))))</f>
        <v xml:space="preserve"> </v>
      </c>
      <c r="AN42" s="441"/>
      <c r="AO42" s="441"/>
      <c r="AP42" s="17" t="s">
        <v>11</v>
      </c>
      <c r="AQ42" s="441" t="str">
        <f>IF(AND(AT40="MULT",AG40=15),AM41+11,IF(AND(AT40="MULT",AG40=12),AM41+10,IF(AND(AT40="NOB",AG40=14),AM41+10,IF(AND(AT40="MASS",AG40=14),AM41+10," "))))</f>
        <v xml:space="preserve"> </v>
      </c>
      <c r="AR42" s="441"/>
      <c r="AS42" s="453"/>
      <c r="AT42" s="413"/>
      <c r="AU42" s="414"/>
      <c r="AV42" s="414"/>
      <c r="AW42" s="415"/>
      <c r="AX42" s="422"/>
      <c r="AY42" s="423"/>
      <c r="AZ42" s="424"/>
      <c r="BA42" s="431"/>
      <c r="BB42" s="432"/>
      <c r="BC42" s="432"/>
      <c r="BD42" s="433"/>
      <c r="BE42" s="394"/>
      <c r="BF42" s="395"/>
      <c r="BG42" s="395"/>
      <c r="BH42" s="396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</row>
    <row r="43" spans="1:82" s="1" customFormat="1" ht="15" customHeight="1" thickBot="1">
      <c r="A43" s="133"/>
      <c r="B43" s="133"/>
      <c r="C43" s="141"/>
      <c r="D43"/>
      <c r="E43"/>
      <c r="F43"/>
      <c r="G43"/>
      <c r="H43"/>
      <c r="I43"/>
      <c r="J43"/>
      <c r="K43"/>
      <c r="L43" s="6"/>
      <c r="M43" s="6"/>
      <c r="N43" s="39"/>
      <c r="O43" s="32"/>
      <c r="P43" s="6"/>
      <c r="Q43" s="6"/>
      <c r="R43" s="6"/>
      <c r="S43" s="6"/>
      <c r="T43" s="6"/>
      <c r="U43" s="6"/>
      <c r="V43" s="6"/>
      <c r="W43" s="33"/>
      <c r="X43" s="123"/>
      <c r="Y43" s="385" t="str">
        <f>IF($AM43="FRONTALE A FILO SOPRA","FRONTALE","")</f>
        <v/>
      </c>
      <c r="Z43" s="386"/>
      <c r="AA43" s="386"/>
      <c r="AB43" s="381" t="str">
        <f>IF($AM43="FRONTALE A FILO SOPRA",$AB40,"")</f>
        <v/>
      </c>
      <c r="AC43" s="381"/>
      <c r="AD43" s="381"/>
      <c r="AE43" s="381" t="str">
        <f>IF($AM43="FRONTALE A FILO SOPRA",$AE42,"")</f>
        <v/>
      </c>
      <c r="AF43" s="381"/>
      <c r="AG43" s="381" t="str">
        <f>IF($AM43="FRONTALE A FILO SOPRA",$AG40,"")</f>
        <v/>
      </c>
      <c r="AH43" s="381"/>
      <c r="AI43" s="381"/>
      <c r="AJ43" s="381" t="str">
        <f>IF($AM43="FRONTALE A FILO SOPRA",$AJ40+20,"")</f>
        <v/>
      </c>
      <c r="AK43" s="381"/>
      <c r="AL43" s="381"/>
      <c r="AM43" s="387" t="str">
        <f>IF(AND($P$14="3 CON FRONTALE",$O41&gt;0),"FRONTALE A FILO SOPRA"," ")</f>
        <v xml:space="preserve"> </v>
      </c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81"/>
      <c r="BB43" s="381"/>
      <c r="BC43" s="381"/>
      <c r="BD43" s="381"/>
      <c r="BE43" s="381"/>
      <c r="BF43" s="381"/>
      <c r="BG43" s="381"/>
      <c r="BH43" s="382"/>
      <c r="BI43" s="12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</row>
    <row r="44" spans="1:82" s="1" customFormat="1" ht="18" customHeight="1">
      <c r="A44" s="521" t="s">
        <v>35</v>
      </c>
      <c r="B44" s="522"/>
      <c r="C44" s="522"/>
      <c r="D44" s="522"/>
      <c r="E44" s="522"/>
      <c r="F44" s="522"/>
      <c r="G44" s="522"/>
      <c r="H44" s="522"/>
      <c r="I44" s="523"/>
      <c r="J44" s="514">
        <v>2</v>
      </c>
      <c r="K44" s="515"/>
      <c r="L44" s="8"/>
      <c r="M44" s="7"/>
      <c r="N44" s="126"/>
      <c r="O44" s="29" t="s">
        <v>3</v>
      </c>
      <c r="P44" s="34" t="s">
        <v>28</v>
      </c>
      <c r="Q44" s="362" t="s">
        <v>20</v>
      </c>
      <c r="R44" s="363"/>
      <c r="S44" s="363"/>
      <c r="T44" s="363"/>
      <c r="U44" s="363"/>
      <c r="V44" s="364"/>
      <c r="W44" s="35" t="s">
        <v>29</v>
      </c>
      <c r="X44" s="454" t="s">
        <v>25</v>
      </c>
      <c r="Y44" s="455" t="s">
        <v>0</v>
      </c>
      <c r="Z44" s="456"/>
      <c r="AA44" s="456"/>
      <c r="AB44" s="457">
        <f>IF(AND(AG44=15),AM45+30,IF(AND(AG44=12),AM45+24,IF(AND(AG44=14),AM45+28,IF(AND(AG44=13),AM45+26,0))))</f>
        <v>0</v>
      </c>
      <c r="AC44" s="457"/>
      <c r="AD44" s="458"/>
      <c r="AE44" s="459">
        <f>AE46*2</f>
        <v>0</v>
      </c>
      <c r="AF44" s="460"/>
      <c r="AG44" s="461">
        <f>IF(AND(AT44="NOB"),DATI!$C$11,IF(AND(AT44="MULT"),DATI!$B$11,IF(AND(AT44="MASS"),DATI!$C$11,0)))</f>
        <v>0</v>
      </c>
      <c r="AH44" s="462"/>
      <c r="AI44" s="463"/>
      <c r="AJ44" s="464">
        <f>SUM(W45)</f>
        <v>0</v>
      </c>
      <c r="AK44" s="465"/>
      <c r="AL44" s="466"/>
      <c r="AM44" s="464" t="str">
        <f>IF(AND(BE44="HETTICH"),P45,IF(OR(BE44="BLUM                                                    DEL CLIENTE",BE44="BLUM",BE44="Hettich Actro"),P45-10,IF(AND(BE44="GRASS"),P45-10,IF(AND(BE44="SALICE"),P45-10,IF(AND(BE44="A ROTELLA"),P45," ")))))</f>
        <v xml:space="preserve"> </v>
      </c>
      <c r="AN44" s="465"/>
      <c r="AO44" s="465"/>
      <c r="AP44" s="465"/>
      <c r="AQ44" s="465"/>
      <c r="AR44" s="465"/>
      <c r="AS44" s="466"/>
      <c r="AT44" s="407" t="str">
        <f>IF(AND($P$11="MULTISTRATO",$O45&lt;&gt;0),"MULT",IF(AND($P$11="MASSELLO",$O45&lt;&gt;0),"MASS",IF(AND($P$11="NOBILITATO",$O45&lt;&gt;0),"NOB"," ")))</f>
        <v xml:space="preserve"> </v>
      </c>
      <c r="AU44" s="408"/>
      <c r="AV44" s="408"/>
      <c r="AW44" s="409"/>
      <c r="AX44" s="416" t="str">
        <f>IF(AND($P$14="3 CON FRONTALE",$O45&gt;0),"3",IF(AND($P$14="3 LATI",$O45&gt;0),"3",IF(AND($P$14="4 SENZA FORI",$O45&gt;0),"4",IF(AND($P$14="4 LATI CON FORI",$O45&gt;0),"4",""))))</f>
        <v/>
      </c>
      <c r="AY44" s="417"/>
      <c r="AZ44" s="418"/>
      <c r="BA44" s="425" t="str">
        <f>IF($O45=0," ",$Q$11)</f>
        <v xml:space="preserve"> </v>
      </c>
      <c r="BB44" s="426"/>
      <c r="BC44" s="426"/>
      <c r="BD44" s="427"/>
      <c r="BE44" s="434" t="str">
        <f>IF(AND(ISNUMBER(FIND("A ROTELLA",$P$12)),$O45&gt;0),"A ROTELLA",IF(AND(ISNUMBER(FIND("ACTRO",$P$12)),$O45&gt;0),"Hettich Actro",IF(AND(ISNUMBER(FIND("QUADRO",$P$12)),$O45&gt;0),"HETTICH",IF(AND($P$12&gt;0,$O45&gt;0),$P$12," "))))</f>
        <v xml:space="preserve"> </v>
      </c>
      <c r="BF44" s="435"/>
      <c r="BG44" s="435"/>
      <c r="BH44" s="436"/>
      <c r="BI44" s="26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</row>
    <row r="45" spans="1:82" s="1" customFormat="1" ht="18" customHeight="1">
      <c r="A45" s="131"/>
      <c r="B45" s="136"/>
      <c r="C45" s="142"/>
      <c r="D45"/>
      <c r="E45"/>
      <c r="F45"/>
      <c r="G45"/>
      <c r="H45"/>
      <c r="I45"/>
      <c r="J45" s="142"/>
      <c r="K45"/>
      <c r="L45" s="472" t="b">
        <f>IF(AND($P45=250),250,IF(AND($P45&gt;250,$P45&lt;301),300,IF(AND($P45&gt;=301,$P45&lt;351),350,IF(AND($P45&gt;=351,$P45&lt;401),400,IF(AND($P45&gt;=401,$P45&lt;451),450,IF(AND($P45&gt;=451,$P45&lt;501),500,IF(AND($P45&gt;=501,$P45&lt;551),550,IF(AND($P45&gt;=551,$P45&lt;601),600,IF(AND($P45&gt;=601,$P45&lt;651),650,IF(AND($P45&gt;=651,$P45&lt;701),700,IF(AND($P45&gt;=701,$P45&lt;751),750,IF(AND($P45&gt;=751,$P45&lt;801),800,IF(AND($P45&gt;=801,$P45&lt;901),900)))))))))))))</f>
        <v>0</v>
      </c>
      <c r="M45" s="540">
        <f>IF($W$15="NO",0,($L45*$Q45)/1000000*$Q$67)</f>
        <v>0</v>
      </c>
      <c r="N45" s="506" t="b">
        <f>IF($Q$11="SBIANCATO NO BORDO",INDEX($A$5:$K$23,MATCH($Q$11,$A$5:$A$23,0),MATCH(W45,$A$5:$K$5,0)),IF($Q$11="SBIANCATO BORDATO",INDEX($A$5:$K$23,MATCH($Q$11,$A$5:$A$23,0),MATCH(W45,$A$5:$K$5,0)),IF($Q$11="LAMINATO BIANCO",INDEX($A$5:$K$23,MATCH($Q$11,$A$5:$A$23,0),MATCH(W45,$A$5:$K$5,0)),IF($Q$11="ROVERE GREZZO",INDEX($A$5:$K$23,MATCH($Q$11,$A$5:$A$23,0),MATCH(W45,$A$5:$K$5,0)),IF($Q$11="ROVERE VERNICIATO",INDEX($A$5:$K$23,MATCH($Q$11,$A$5:$A$23,0),MATCH(W45,$A$5:$K$5,0)),IF($Q$11="FAGGIO LUCIDO",INDEX($A$5:$K$23,MATCH($Q$11,$A$5:$A$23,0),MATCH(W45,$A$5:$K$5,0)),IF($Q$11="FRASSINO SBIANCATO BORDATO",INDEX($A$5:$K$23,MATCH($Q$11,$A$5:$A$23,0),MATCH(W45,$A$5:$K$5,0)),IF($P$11="NOBILITATO",INDEX($A$5:$K$23,MATCH($P$11,$A$5:$A$23,0),MATCH(W45,$A$5:$K$5,0))))))))))</f>
        <v>0</v>
      </c>
      <c r="O45" s="442">
        <f>MODULO!$AN$23</f>
        <v>0</v>
      </c>
      <c r="P45" s="341">
        <f>MODULO!$AR$23</f>
        <v>0</v>
      </c>
      <c r="Q45" s="335">
        <f>MODULO!$AV$23</f>
        <v>0</v>
      </c>
      <c r="R45" s="336"/>
      <c r="S45" s="336"/>
      <c r="T45" s="336"/>
      <c r="U45" s="336"/>
      <c r="V45" s="337"/>
      <c r="W45" s="448">
        <f>MODULO!$AZ$23</f>
        <v>0</v>
      </c>
      <c r="X45" s="454"/>
      <c r="Y45" s="450" t="s">
        <v>1</v>
      </c>
      <c r="Z45" s="451"/>
      <c r="AA45" s="451"/>
      <c r="AB45" s="451"/>
      <c r="AC45" s="451"/>
      <c r="AD45" s="452"/>
      <c r="AE45" s="372">
        <f>IF(AX44="4",AE46*2,IF(AND(AX44="3"),AE46*1,0))</f>
        <v>0</v>
      </c>
      <c r="AF45" s="374"/>
      <c r="AG45" s="437">
        <f>SUM(AG44)</f>
        <v>0</v>
      </c>
      <c r="AH45" s="438"/>
      <c r="AI45" s="439"/>
      <c r="AJ45" s="369">
        <f>SUM(W45)</f>
        <v>0</v>
      </c>
      <c r="AK45" s="370"/>
      <c r="AL45" s="371"/>
      <c r="AM45" s="372" t="str">
        <f>IF(BE44="HETTICH",Q45-40,IF(BE44="BLUM                                                    DEL CLIENTE",Q45-42,IF(BE44="BLUM",Q45-42,IF(BE44="Hettich Actro",Q45-42,IF(BE44="SALICE",Q45-42,IF(BE44="GRASS",Q45-42,IF(AND(BE44="A ROTELLA",AG44=15),Q45-55,IF(AND(BE44="A ROTELLA",AG44=14),Q45-53," "))))))))</f>
        <v xml:space="preserve"> </v>
      </c>
      <c r="AN45" s="373"/>
      <c r="AO45" s="373"/>
      <c r="AP45" s="373"/>
      <c r="AQ45" s="373"/>
      <c r="AR45" s="373"/>
      <c r="AS45" s="374"/>
      <c r="AT45" s="410"/>
      <c r="AU45" s="411"/>
      <c r="AV45" s="411"/>
      <c r="AW45" s="412"/>
      <c r="AX45" s="419"/>
      <c r="AY45" s="420"/>
      <c r="AZ45" s="421"/>
      <c r="BA45" s="428"/>
      <c r="BB45" s="429"/>
      <c r="BC45" s="429"/>
      <c r="BD45" s="430"/>
      <c r="BE45" s="391" t="str">
        <f>IF(AND($P$12="A ROTELLA",$O45&gt;0),"DEL CLIENTE",IF(AND($P$12="A ROTELLA GRIGIA",$O45&gt;0),"VPA GRIGIA",IF(AND($P$12&gt;1,$O45&gt;0),"PRED. C/MAN"," ")))</f>
        <v xml:space="preserve"> </v>
      </c>
      <c r="BF45" s="392"/>
      <c r="BG45" s="392"/>
      <c r="BH45" s="393"/>
      <c r="BI45" s="26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</row>
    <row r="46" spans="1:82" ht="18" customHeight="1">
      <c r="A46" s="512" t="s">
        <v>114</v>
      </c>
      <c r="B46" s="513"/>
      <c r="C46" s="513"/>
      <c r="D46" s="513"/>
      <c r="E46" s="513"/>
      <c r="F46" s="513"/>
      <c r="G46" s="524" t="s">
        <v>115</v>
      </c>
      <c r="H46" s="524"/>
      <c r="I46" s="525"/>
      <c r="J46" s="514">
        <v>1.5</v>
      </c>
      <c r="K46" s="515"/>
      <c r="L46" s="473"/>
      <c r="M46" s="541"/>
      <c r="N46" s="507"/>
      <c r="O46" s="467"/>
      <c r="P46" s="342"/>
      <c r="Q46" s="338"/>
      <c r="R46" s="339"/>
      <c r="S46" s="339"/>
      <c r="T46" s="339"/>
      <c r="U46" s="339"/>
      <c r="V46" s="340"/>
      <c r="W46" s="468"/>
      <c r="X46" s="454"/>
      <c r="Y46" s="397" t="s">
        <v>2</v>
      </c>
      <c r="Z46" s="398"/>
      <c r="AA46" s="398"/>
      <c r="AB46" s="399"/>
      <c r="AC46" s="399"/>
      <c r="AD46" s="400"/>
      <c r="AE46" s="401">
        <f>SUM(O45)</f>
        <v>0</v>
      </c>
      <c r="AF46" s="402"/>
      <c r="AG46" s="403">
        <f>IF(AND(AT44="NOB"),DATI!$C$12,IF(AND(AT44="MULT",BA44="FAGGIO LUCIDO"),DATI!$B$13,IF(AND(AT44="MULT",BA44="FRASSINO SBIANCATO BORDATO"),DATI!$B$12,IF(AND(AT44="MULT",BA44="SBIANCATO NO BORDO"),DATI!$B$12,IF(AND(AT44="MULT",BA44="LAMINATO BIANCO"),DATI!$B$12,IF(AND(AT44="MULT",BA44="ROVERE LUCIDO"),DATI!$C$12,IF(AND(AT44="MULT",BA44="ROVERE GREZZO"),DATI!$C$12,IF(AND(AT44="MASS"),DATI!$B$13,0))))))))</f>
        <v>0</v>
      </c>
      <c r="AH46" s="404"/>
      <c r="AI46" s="405"/>
      <c r="AJ46" s="401"/>
      <c r="AK46" s="406"/>
      <c r="AL46" s="402"/>
      <c r="AM46" s="440" t="str">
        <f>IF(OR($P$14="3 CON FRONTALE",$P$14="3 LATI"),AM44,IF(AND($W$15="SFILABILE DIETRO",AG44=14),AM44-8,IF(AND($W$15="SFILABILE DIETRO",AG44=15),AM44-9,IF(AND($W$15="SFILABILE DAVANTI",AG44=14),AM44-8,IF(AND($W$15="SFILABILE DAVANTI",AG44=15),AM44-9,IF(AND(AX44=3),AM44,IF(AND(BA44="FAGGIO GREZZO",AT44="MASS"),AM44-AG44+6,IF(AND(BA44="ROVERE GREZZO",AT44="MULT"),AM44-AG44+6,IF(AND(AX44=3),AM44,IF(AND(AT44="MULT",AG44=15),AM44-17,IF(AND(AT44="NOB"),AM44-17," ")))))))))))</f>
        <v xml:space="preserve"> </v>
      </c>
      <c r="AN46" s="441"/>
      <c r="AO46" s="441"/>
      <c r="AP46" s="17" t="s">
        <v>11</v>
      </c>
      <c r="AQ46" s="441" t="str">
        <f>IF(AND(AT44="MULT",AG44=15),AM45+11,IF(AND(AT44="MULT",AG44=12),AM45+10,IF(AND(AT44="NOB",AG44=14),AM45+10,IF(AND(AT44="MASS",AG44=14),AM45+10," "))))</f>
        <v xml:space="preserve"> </v>
      </c>
      <c r="AR46" s="441"/>
      <c r="AS46" s="453"/>
      <c r="AT46" s="413"/>
      <c r="AU46" s="414"/>
      <c r="AV46" s="414"/>
      <c r="AW46" s="415"/>
      <c r="AX46" s="422"/>
      <c r="AY46" s="423"/>
      <c r="AZ46" s="424"/>
      <c r="BA46" s="431"/>
      <c r="BB46" s="432"/>
      <c r="BC46" s="432"/>
      <c r="BD46" s="433"/>
      <c r="BE46" s="394"/>
      <c r="BF46" s="395"/>
      <c r="BG46" s="395"/>
      <c r="BH46" s="39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</row>
    <row r="47" spans="1:82" s="1" customFormat="1" ht="15" customHeight="1" thickBot="1">
      <c r="A47" s="508"/>
      <c r="B47" s="509"/>
      <c r="C47" s="509"/>
      <c r="D47" s="509"/>
      <c r="E47" s="509"/>
      <c r="F47" s="509"/>
      <c r="G47" s="510" t="s">
        <v>116</v>
      </c>
      <c r="H47" s="510"/>
      <c r="I47" s="511"/>
      <c r="J47" s="496">
        <v>5.88</v>
      </c>
      <c r="K47" s="497"/>
      <c r="L47" s="8"/>
      <c r="M47" s="8"/>
      <c r="N47" s="126"/>
      <c r="O47" s="32"/>
      <c r="P47" s="6"/>
      <c r="Q47" s="6"/>
      <c r="R47" s="6"/>
      <c r="S47" s="6"/>
      <c r="T47" s="6"/>
      <c r="U47" s="6"/>
      <c r="V47" s="6"/>
      <c r="W47" s="33"/>
      <c r="X47" s="122"/>
      <c r="Y47" s="385" t="str">
        <f>IF($AM47="FRONTALE A FILO SOPRA","FRONTALE","")</f>
        <v/>
      </c>
      <c r="Z47" s="386"/>
      <c r="AA47" s="386"/>
      <c r="AB47" s="381" t="str">
        <f>IF($AM47="FRONTALE A FILO SOPRA",$AB44,"")</f>
        <v/>
      </c>
      <c r="AC47" s="381"/>
      <c r="AD47" s="381"/>
      <c r="AE47" s="381" t="str">
        <f>IF($AM47="FRONTALE A FILO SOPRA",$AE46,"")</f>
        <v/>
      </c>
      <c r="AF47" s="381"/>
      <c r="AG47" s="381" t="str">
        <f>IF($AM47="FRONTALE A FILO SOPRA",$AG44,"")</f>
        <v/>
      </c>
      <c r="AH47" s="381"/>
      <c r="AI47" s="381"/>
      <c r="AJ47" s="381" t="str">
        <f>IF($AM47="FRONTALE A FILO SOPRA",$AJ44+20,"")</f>
        <v/>
      </c>
      <c r="AK47" s="381"/>
      <c r="AL47" s="381"/>
      <c r="AM47" s="387" t="str">
        <f>IF(AND($P$14="3 CON FRONTALE",$O45&gt;0),"FRONTALE A FILO SOPRA"," ")</f>
        <v xml:space="preserve"> </v>
      </c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7"/>
      <c r="AY47" s="387"/>
      <c r="AZ47" s="387"/>
      <c r="BA47" s="381"/>
      <c r="BB47" s="381"/>
      <c r="BC47" s="381"/>
      <c r="BD47" s="381"/>
      <c r="BE47" s="381"/>
      <c r="BF47" s="381"/>
      <c r="BG47" s="381"/>
      <c r="BH47" s="382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</row>
    <row r="48" spans="1:82" s="1" customFormat="1" ht="18" customHeight="1">
      <c r="A48" s="512" t="s">
        <v>36</v>
      </c>
      <c r="B48" s="513"/>
      <c r="C48" s="513"/>
      <c r="D48" s="513"/>
      <c r="E48" s="513"/>
      <c r="F48" s="513"/>
      <c r="G48" s="191"/>
      <c r="H48" s="191"/>
      <c r="I48" s="191"/>
      <c r="J48" s="514">
        <v>3.5</v>
      </c>
      <c r="K48" s="515"/>
      <c r="L48" s="8"/>
      <c r="M48" s="6"/>
      <c r="N48" s="126"/>
      <c r="O48" s="29" t="s">
        <v>3</v>
      </c>
      <c r="P48" s="34" t="s">
        <v>28</v>
      </c>
      <c r="Q48" s="362" t="s">
        <v>20</v>
      </c>
      <c r="R48" s="363"/>
      <c r="S48" s="363"/>
      <c r="T48" s="363"/>
      <c r="U48" s="363"/>
      <c r="V48" s="364"/>
      <c r="W48" s="35" t="s">
        <v>29</v>
      </c>
      <c r="X48" s="454" t="s">
        <v>26</v>
      </c>
      <c r="Y48" s="455" t="s">
        <v>0</v>
      </c>
      <c r="Z48" s="456"/>
      <c r="AA48" s="456"/>
      <c r="AB48" s="457">
        <f>IF(AND(AG48=15),AM49+30,IF(AND(AG48=12),AM49+24,IF(AND(AG48=14),AM49+28,IF(AND(AG48=13),AM49+26,0))))</f>
        <v>0</v>
      </c>
      <c r="AC48" s="457"/>
      <c r="AD48" s="458"/>
      <c r="AE48" s="459">
        <f>AE50*2</f>
        <v>0</v>
      </c>
      <c r="AF48" s="460"/>
      <c r="AG48" s="461">
        <f>IF(AND(AT48="NOB"),DATI!$C$11,IF(AND(AT48="MULT"),DATI!$B$11,IF(AND(AT48="MASS"),DATI!$C$11,0)))</f>
        <v>0</v>
      </c>
      <c r="AH48" s="462"/>
      <c r="AI48" s="463"/>
      <c r="AJ48" s="464">
        <f>SUM(W49)</f>
        <v>0</v>
      </c>
      <c r="AK48" s="465"/>
      <c r="AL48" s="466"/>
      <c r="AM48" s="464" t="str">
        <f>IF(AND(BE48="HETTICH"),P49,IF(OR(BE48="BLUM                                                    DEL CLIENTE",BE48="BLUM",BE48="Hettich Actro"),P49-10,IF(AND(BE48="GRASS"),P49-10,IF(AND(BE48="SALICE"),P49-10,IF(AND(BE48="A ROTELLA"),P49," ")))))</f>
        <v xml:space="preserve"> </v>
      </c>
      <c r="AN48" s="465"/>
      <c r="AO48" s="465"/>
      <c r="AP48" s="465"/>
      <c r="AQ48" s="465"/>
      <c r="AR48" s="465"/>
      <c r="AS48" s="466"/>
      <c r="AT48" s="407" t="str">
        <f>IF(AND($P$11="MULTISTRATO",$O49&lt;&gt;0),"MULT",IF(AND($P$11="MASSELLO",$O49&lt;&gt;0),"MASS",IF(AND($P$11="NOBILITATO",$O49&lt;&gt;0),"NOB"," ")))</f>
        <v xml:space="preserve"> </v>
      </c>
      <c r="AU48" s="408"/>
      <c r="AV48" s="408"/>
      <c r="AW48" s="409"/>
      <c r="AX48" s="416" t="str">
        <f>IF(AND($P$14="3 CON FRONTALE",$O49&gt;0),"3",IF(AND($P$14="3 LATI",$O49&gt;0),"3",IF(AND($P$14="4 SENZA FORI",$O49&gt;0),"4",IF(AND($P$14="4 LATI CON FORI",$O49&gt;0),"4",""))))</f>
        <v/>
      </c>
      <c r="AY48" s="417"/>
      <c r="AZ48" s="418"/>
      <c r="BA48" s="425" t="str">
        <f>IF($O49=0," ",$Q$11)</f>
        <v xml:space="preserve"> </v>
      </c>
      <c r="BB48" s="426"/>
      <c r="BC48" s="426"/>
      <c r="BD48" s="427"/>
      <c r="BE48" s="434" t="str">
        <f>IF(AND(ISNUMBER(FIND("A ROTELLA",$P$12)),$O49&gt;0),"A ROTELLA",IF(AND(ISNUMBER(FIND("ACTRO",$P$12)),$O49&gt;0),"Hettich Actro",IF(AND(ISNUMBER(FIND("QUADRO",$P$12)),$O49&gt;0),"HETTICH",IF(AND($P$12&gt;0,$O49&gt;0),$P$12," "))))</f>
        <v xml:space="preserve"> </v>
      </c>
      <c r="BF48" s="435"/>
      <c r="BG48" s="435"/>
      <c r="BH48" s="436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</row>
    <row r="49" spans="1:82" s="1" customFormat="1" ht="18" customHeight="1">
      <c r="A49" s="137"/>
      <c r="B49" s="136"/>
      <c r="C49" s="143"/>
      <c r="D49"/>
      <c r="E49"/>
      <c r="F49"/>
      <c r="G49"/>
      <c r="H49"/>
      <c r="I49"/>
      <c r="J49"/>
      <c r="K49"/>
      <c r="L49" s="472" t="b">
        <f>IF(AND($P49=250),250,IF(AND($P49&gt;250,$P49&lt;301),300,IF(AND($P49&gt;=301,$P49&lt;351),350,IF(AND($P49&gt;=351,$P49&lt;401),400,IF(AND($P49&gt;=401,$P49&lt;451),450,IF(AND($P49&gt;=451,$P49&lt;501),500,IF(AND($P49&gt;=501,$P49&lt;551),550,IF(AND($P49&gt;=551,$P49&lt;601),600,IF(AND($P49&gt;=601,$P49&lt;651),650,IF(AND($P49&gt;=651,$P49&lt;701),700,IF(AND($P49&gt;=701,$P49&lt;751),750,IF(AND($P49&gt;=751,$P49&lt;801),800,IF(AND($P49&gt;=801,$P49&lt;901),900)))))))))))))</f>
        <v>0</v>
      </c>
      <c r="M49" s="540">
        <f>IF($W$15="NO",0,($L49*$Q49)/1000000*$Q$67)</f>
        <v>0</v>
      </c>
      <c r="N49" s="506" t="b">
        <f>IF($Q$11="SBIANCATO NO BORDO",INDEX($A$5:$K$23,MATCH($Q$11,$A$5:$A$23,0),MATCH(W49,$A$5:$K$5,0)),IF($Q$11="SBIANCATO BORDATO",INDEX($A$5:$K$23,MATCH($Q$11,$A$5:$A$23,0),MATCH(W49,$A$5:$K$5,0)),IF($Q$11="LAMINATO BIANCO",INDEX($A$5:$K$23,MATCH($Q$11,$A$5:$A$23,0),MATCH(W49,$A$5:$K$5,0)),IF($Q$11="ROVERE GREZZO",INDEX($A$5:$K$23,MATCH($Q$11,$A$5:$A$23,0),MATCH(W49,$A$5:$K$5,0)),IF($Q$11="ROVERE VERNICIATO",INDEX($A$5:$K$23,MATCH($Q$11,$A$5:$A$23,0),MATCH(W49,$A$5:$K$5,0)),IF($Q$11="FAGGIO LUCIDO",INDEX($A$5:$K$23,MATCH($Q$11,$A$5:$A$23,0),MATCH(W49,$A$5:$K$5,0)),IF($Q$11="FRASSINO SBIANCATO BORDATO",INDEX($A$5:$K$23,MATCH($Q$11,$A$5:$A$23,0),MATCH(W49,$A$5:$K$5,0)),IF($P$11="NOBILITATO",INDEX($A$5:$K$23,MATCH($P$11,$A$5:$A$23,0),MATCH(W49,$A$5:$K$5,0))))))))))</f>
        <v>0</v>
      </c>
      <c r="O49" s="442">
        <f>MODULO!$AN$25</f>
        <v>0</v>
      </c>
      <c r="P49" s="341">
        <f>MODULO!$AR$25</f>
        <v>0</v>
      </c>
      <c r="Q49" s="335">
        <f>MODULO!$AV$25</f>
        <v>0</v>
      </c>
      <c r="R49" s="336"/>
      <c r="S49" s="336"/>
      <c r="T49" s="336"/>
      <c r="U49" s="336"/>
      <c r="V49" s="337"/>
      <c r="W49" s="448">
        <f>MODULO!$AZ$25</f>
        <v>0</v>
      </c>
      <c r="X49" s="454"/>
      <c r="Y49" s="450" t="s">
        <v>1</v>
      </c>
      <c r="Z49" s="451"/>
      <c r="AA49" s="451"/>
      <c r="AB49" s="451"/>
      <c r="AC49" s="451"/>
      <c r="AD49" s="452"/>
      <c r="AE49" s="372">
        <f>IF(AX48="4",AE50*2,IF(AND(AX48="3"),AE50*1,0))</f>
        <v>0</v>
      </c>
      <c r="AF49" s="374"/>
      <c r="AG49" s="437">
        <f>SUM(AG48)</f>
        <v>0</v>
      </c>
      <c r="AH49" s="438"/>
      <c r="AI49" s="439"/>
      <c r="AJ49" s="369">
        <f>SUM(W49)</f>
        <v>0</v>
      </c>
      <c r="AK49" s="370"/>
      <c r="AL49" s="371"/>
      <c r="AM49" s="372" t="str">
        <f>IF(BE48="HETTICH",Q49-40,IF(BE48="BLUM                                                    DEL CLIENTE",Q49-42,IF(BE48="BLUM",Q49-42,IF(BE48="Hettich Actro",Q49-42,IF(BE48="SALICE",Q49-42,IF(BE48="GRASS",Q49-42,IF(AND(BE48="A ROTELLA",AG48=15),Q49-55,IF(AND(BE48="A ROTELLA",AG48=14),Q49-53," "))))))))</f>
        <v xml:space="preserve"> </v>
      </c>
      <c r="AN49" s="373"/>
      <c r="AO49" s="373"/>
      <c r="AP49" s="373"/>
      <c r="AQ49" s="373"/>
      <c r="AR49" s="373"/>
      <c r="AS49" s="374"/>
      <c r="AT49" s="410"/>
      <c r="AU49" s="411"/>
      <c r="AV49" s="411"/>
      <c r="AW49" s="412"/>
      <c r="AX49" s="419"/>
      <c r="AY49" s="420"/>
      <c r="AZ49" s="421"/>
      <c r="BA49" s="428"/>
      <c r="BB49" s="429"/>
      <c r="BC49" s="429"/>
      <c r="BD49" s="430"/>
      <c r="BE49" s="391" t="str">
        <f>IF(AND($P$12="A ROTELLA",$O49&gt;0),"DEL CLIENTE",IF(AND($P$12="A ROTELLA GRIGIA",$O49&gt;0),"VPA GRIGIA",IF(AND($P$12&gt;1,$O49&gt;0),"PRED. C/MAN"," ")))</f>
        <v xml:space="preserve"> </v>
      </c>
      <c r="BF49" s="392"/>
      <c r="BG49" s="392"/>
      <c r="BH49" s="393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</row>
    <row r="50" spans="1:82" ht="18" customHeight="1">
      <c r="A50" s="202"/>
      <c r="B50" s="203"/>
      <c r="C50" s="204"/>
      <c r="L50" s="473"/>
      <c r="M50" s="541"/>
      <c r="N50" s="507"/>
      <c r="O50" s="467"/>
      <c r="P50" s="342"/>
      <c r="Q50" s="338"/>
      <c r="R50" s="339"/>
      <c r="S50" s="339"/>
      <c r="T50" s="339"/>
      <c r="U50" s="339"/>
      <c r="V50" s="340"/>
      <c r="W50" s="468"/>
      <c r="X50" s="454"/>
      <c r="Y50" s="397" t="s">
        <v>2</v>
      </c>
      <c r="Z50" s="398"/>
      <c r="AA50" s="398"/>
      <c r="AB50" s="399"/>
      <c r="AC50" s="399"/>
      <c r="AD50" s="400"/>
      <c r="AE50" s="401">
        <f>SUM(O49)</f>
        <v>0</v>
      </c>
      <c r="AF50" s="402"/>
      <c r="AG50" s="403">
        <f>IF(AND(AT48="NOB"),DATI!$C$12,IF(AND(AT48="MULT",BA48="FAGGIO LUCIDO"),DATI!$B$13,IF(AND(AT48="MULT",BA48="FRASSINO SBIANCATO BORDATO"),DATI!$B$12,IF(AND(AT48="MULT",BA48="SBIANCATO NO BORDO"),DATI!$B$12,IF(AND(AT48="MULT",BA48="LAMINATO BIANCO"),DATI!$B$12,IF(AND(AT48="MULT",BA48="ROVERE LUCIDO"),DATI!$C$12,IF(AND(AT48="MULT",BA48="ROVERE GREZZO"),DATI!$C$12,IF(AND(AT48="MASS"),DATI!$B$13,0))))))))</f>
        <v>0</v>
      </c>
      <c r="AH50" s="404"/>
      <c r="AI50" s="405"/>
      <c r="AJ50" s="401"/>
      <c r="AK50" s="406"/>
      <c r="AL50" s="402"/>
      <c r="AM50" s="440" t="str">
        <f>IF(OR($P$14="3 CON FRONTALE",$P$14="3 LATI"),AM48,IF(AND($W$15="SFILABILE DIETRO",AG48=14),AM48-8,IF(AND($W$15="SFILABILE DIETRO",AG48=15),AM48-9,IF(AND($W$15="SFILABILE DAVANTI",AG48=14),AM48-8,IF(AND($W$15="SFILABILE DAVANTI",AG48=15),AM48-9,IF(AND(AX48=3),AM48,IF(AND(BA48="FAGGIO GREZZO",AT48="MASS"),AM48-AG48+6,IF(AND(BA48="ROVERE GREZZO",AT48="MULT"),AM48-AG48+6,IF(AND(AX48=3),AM48,IF(AND(AT48="MULT",AG48=15),AM48-17,IF(AND(AT48="NOB"),AM48-17," ")))))))))))</f>
        <v xml:space="preserve"> </v>
      </c>
      <c r="AN50" s="441"/>
      <c r="AO50" s="441"/>
      <c r="AP50" s="17" t="s">
        <v>11</v>
      </c>
      <c r="AQ50" s="441" t="str">
        <f>IF(AND(AT48="MULT",AG48=15),AM49+11,IF(AND(AT48="MULT",AG48=12),AM49+10,IF(AND(AT48="NOB",AG48=14),AM49+10,IF(AND(AT48="MASS",AG48=14),AM49+10," "))))</f>
        <v xml:space="preserve"> </v>
      </c>
      <c r="AR50" s="441"/>
      <c r="AS50" s="453"/>
      <c r="AT50" s="413"/>
      <c r="AU50" s="414"/>
      <c r="AV50" s="414"/>
      <c r="AW50" s="415"/>
      <c r="AX50" s="422"/>
      <c r="AY50" s="423"/>
      <c r="AZ50" s="424"/>
      <c r="BA50" s="431"/>
      <c r="BB50" s="432"/>
      <c r="BC50" s="432"/>
      <c r="BD50" s="433"/>
      <c r="BE50" s="394"/>
      <c r="BF50" s="395"/>
      <c r="BG50" s="395"/>
      <c r="BH50" s="39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</row>
    <row r="51" spans="1:82" s="1" customFormat="1" ht="15" customHeight="1" thickBot="1">
      <c r="A51" s="202"/>
      <c r="B51" s="203"/>
      <c r="C51" s="204"/>
      <c r="D51"/>
      <c r="E51"/>
      <c r="F51"/>
      <c r="G51"/>
      <c r="H51"/>
      <c r="I51"/>
      <c r="J51"/>
      <c r="K51"/>
      <c r="L51" s="6"/>
      <c r="M51" s="8"/>
      <c r="N51" s="8"/>
      <c r="O51" s="32"/>
      <c r="P51" s="6"/>
      <c r="Q51" s="6"/>
      <c r="R51" s="6"/>
      <c r="S51" s="6"/>
      <c r="T51" s="6"/>
      <c r="U51" s="6"/>
      <c r="V51" s="6"/>
      <c r="W51" s="33"/>
      <c r="X51" s="123"/>
      <c r="Y51" s="385" t="str">
        <f>IF($AM51="FRONTALE A FILO SOPRA","FRONTALE","")</f>
        <v/>
      </c>
      <c r="Z51" s="386"/>
      <c r="AA51" s="386"/>
      <c r="AB51" s="381" t="str">
        <f>IF($AM51="FRONTALE A FILO SOPRA",$AB48,"")</f>
        <v/>
      </c>
      <c r="AC51" s="381"/>
      <c r="AD51" s="381"/>
      <c r="AE51" s="381" t="str">
        <f>IF($AM51="FRONTALE A FILO SOPRA",$AE50,"")</f>
        <v/>
      </c>
      <c r="AF51" s="381"/>
      <c r="AG51" s="381" t="str">
        <f>IF($AM51="FRONTALE A FILO SOPRA",$AG48,"")</f>
        <v/>
      </c>
      <c r="AH51" s="381"/>
      <c r="AI51" s="381"/>
      <c r="AJ51" s="381" t="str">
        <f>IF($AM51="FRONTALE A FILO SOPRA",$AJ48+20,"")</f>
        <v/>
      </c>
      <c r="AK51" s="381"/>
      <c r="AL51" s="381"/>
      <c r="AM51" s="387" t="str">
        <f>IF(AND($P$14="3 CON FRONTALE",$O49&gt;0),"FRONTALE A FILO SOPRA"," ")</f>
        <v xml:space="preserve"> </v>
      </c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7"/>
      <c r="AY51" s="387"/>
      <c r="AZ51" s="387"/>
      <c r="BA51" s="381"/>
      <c r="BB51" s="381"/>
      <c r="BC51" s="381"/>
      <c r="BD51" s="381"/>
      <c r="BE51" s="381"/>
      <c r="BF51" s="381"/>
      <c r="BG51" s="381"/>
      <c r="BH51" s="382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</row>
    <row r="52" spans="1:82" s="1" customFormat="1" ht="18" customHeight="1">
      <c r="A52" s="512" t="s">
        <v>37</v>
      </c>
      <c r="B52" s="513"/>
      <c r="C52" s="513"/>
      <c r="D52" s="513"/>
      <c r="E52" s="513"/>
      <c r="F52" s="513"/>
      <c r="G52" s="513"/>
      <c r="H52" s="513"/>
      <c r="I52" s="516" t="s">
        <v>42</v>
      </c>
      <c r="J52" s="516"/>
      <c r="K52" s="516"/>
      <c r="L52" s="8"/>
      <c r="M52" s="8"/>
      <c r="N52" s="8"/>
      <c r="O52" s="29" t="s">
        <v>3</v>
      </c>
      <c r="P52" s="34" t="s">
        <v>28</v>
      </c>
      <c r="Q52" s="362" t="s">
        <v>20</v>
      </c>
      <c r="R52" s="363"/>
      <c r="S52" s="363"/>
      <c r="T52" s="363"/>
      <c r="U52" s="363"/>
      <c r="V52" s="364"/>
      <c r="W52" s="35" t="s">
        <v>29</v>
      </c>
      <c r="X52" s="454" t="s">
        <v>27</v>
      </c>
      <c r="Y52" s="455" t="s">
        <v>0</v>
      </c>
      <c r="Z52" s="456"/>
      <c r="AA52" s="456"/>
      <c r="AB52" s="457">
        <f>IF(AND(AG52=15),AM53+30,IF(AND(AG52=12),AM53+24,IF(AND(AG52=14),AM53+28,IF(AND(AG52=13),AM53+26,0))))</f>
        <v>0</v>
      </c>
      <c r="AC52" s="457"/>
      <c r="AD52" s="458"/>
      <c r="AE52" s="459">
        <f>AE54*2</f>
        <v>0</v>
      </c>
      <c r="AF52" s="460"/>
      <c r="AG52" s="461">
        <f>IF(AND(AT52="NOB"),DATI!$C$11,IF(AND(AT52="MULT"),DATI!$B$11,IF(AND(AT52="MASS"),DATI!$C$11,0)))</f>
        <v>0</v>
      </c>
      <c r="AH52" s="462"/>
      <c r="AI52" s="463"/>
      <c r="AJ52" s="464">
        <f>SUM(W53)</f>
        <v>0</v>
      </c>
      <c r="AK52" s="465"/>
      <c r="AL52" s="466"/>
      <c r="AM52" s="464" t="str">
        <f>IF(AND(BE52="HETTICH"),P53,IF(OR(BE52="BLUM                                                    DEL CLIENTE",BE52="BLUM",BE52="Hettich Actro"),P53-10,IF(AND(BE52="GRASS"),P53-10,IF(AND(BE52="SALICE"),P53-10,IF(AND(BE52="A ROTELLA"),P53," ")))))</f>
        <v xml:space="preserve"> </v>
      </c>
      <c r="AN52" s="465"/>
      <c r="AO52" s="465"/>
      <c r="AP52" s="465"/>
      <c r="AQ52" s="465"/>
      <c r="AR52" s="465"/>
      <c r="AS52" s="466"/>
      <c r="AT52" s="407" t="str">
        <f>IF(AND($P$11="MULTISTRATO",$O53&lt;&gt;0),"MULT",IF(AND($P$11="MASSELLO",$O53&lt;&gt;0),"MASS",IF(AND($P$11="NOBILITATO",$O53&lt;&gt;0),"NOB"," ")))</f>
        <v xml:space="preserve"> </v>
      </c>
      <c r="AU52" s="408"/>
      <c r="AV52" s="408"/>
      <c r="AW52" s="409"/>
      <c r="AX52" s="416" t="str">
        <f>IF(AND($P$14="3 CON FRONTALE",$O53&gt;0),"3",IF(AND($P$14="3 LATI",$O53&gt;0),"3",IF(AND($P$14="4 SENZA FORI",$O53&gt;0),"4",IF(AND($P$14="4 LATI CON FORI",$O53&gt;0),"4",""))))</f>
        <v/>
      </c>
      <c r="AY52" s="417"/>
      <c r="AZ52" s="418"/>
      <c r="BA52" s="425" t="str">
        <f>IF($O53=0," ",$Q$11)</f>
        <v xml:space="preserve"> </v>
      </c>
      <c r="BB52" s="426"/>
      <c r="BC52" s="426"/>
      <c r="BD52" s="427"/>
      <c r="BE52" s="434" t="str">
        <f>IF(AND(ISNUMBER(FIND("A ROTELLA",$P$12)),$O53&gt;0),"A ROTELLA",IF(AND(ISNUMBER(FIND("ACTRO",$P$12)),$O53&gt;0),"Hettich Actro",IF(AND(ISNUMBER(FIND("QUADRO",$P$12)),$O53&gt;0),"HETTICH",IF(AND($P$12&gt;0,$O53&gt;0),$P$12," "))))</f>
        <v xml:space="preserve"> </v>
      </c>
      <c r="BF52" s="435"/>
      <c r="BG52" s="435"/>
      <c r="BH52" s="436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</row>
    <row r="53" spans="1:82" s="1" customFormat="1" ht="18" customHeight="1">
      <c r="A53" s="517" t="s">
        <v>38</v>
      </c>
      <c r="B53" s="518"/>
      <c r="C53" s="518"/>
      <c r="D53" s="518"/>
      <c r="E53" s="518"/>
      <c r="F53" s="518"/>
      <c r="G53" s="518"/>
      <c r="H53" s="518"/>
      <c r="I53" s="516" t="s">
        <v>117</v>
      </c>
      <c r="J53" s="516"/>
      <c r="K53" s="516"/>
      <c r="L53" s="472" t="b">
        <f>IF(AND($P53=250),250,IF(AND($P53&gt;250,$P53&lt;301),300,IF(AND($P53&gt;=301,$P53&lt;351),350,IF(AND($P53&gt;=351,$P53&lt;401),400,IF(AND($P53&gt;=401,$P53&lt;451),450,IF(AND($P53&gt;=451,$P53&lt;501),500,IF(AND($P53&gt;=501,$P53&lt;551),550,IF(AND($P53&gt;=551,$P53&lt;601),600,IF(AND($P53&gt;=601,$P53&lt;651),650,IF(AND($P53&gt;=651,$P53&lt;701),700,IF(AND($P53&gt;=701,$P53&lt;751),750,IF(AND($P53&gt;=751,$P53&lt;801),800,IF(AND($P53&gt;=801,$P53&lt;901),900)))))))))))))</f>
        <v>0</v>
      </c>
      <c r="M53" s="540">
        <f>IF($W$15="NO",0,($L53*$Q53)/1000000*$Q$67)</f>
        <v>0</v>
      </c>
      <c r="N53" s="506" t="b">
        <f>IF($Q$11="SBIANCATO NO BORDO",INDEX($A$5:$K$23,MATCH($Q$11,$A$5:$A$23,0),MATCH(W53,$A$5:$K$5,0)),IF($Q$11="SBIANCATO BORDATO",INDEX($A$5:$K$23,MATCH($Q$11,$A$5:$A$23,0),MATCH(W53,$A$5:$K$5,0)),IF($Q$11="LAMINATO BIANCO",INDEX($A$5:$K$23,MATCH($Q$11,$A$5:$A$23,0),MATCH(W53,$A$5:$K$5,0)),IF($Q$11="ROVERE GREZZO",INDEX($A$5:$K$23,MATCH($Q$11,$A$5:$A$23,0),MATCH(W53,$A$5:$K$5,0)),IF($Q$11="ROVERE VERNICIATO",INDEX($A$5:$K$23,MATCH($Q$11,$A$5:$A$23,0),MATCH(W53,$A$5:$K$5,0)),IF($Q$11="FAGGIO LUCIDO",INDEX($A$5:$K$23,MATCH($Q$11,$A$5:$A$23,0),MATCH(W53,$A$5:$K$5,0)),IF($Q$11="FRASSINO SBIANCATO BORDATO",INDEX($A$5:$K$23,MATCH($Q$11,$A$5:$A$23,0),MATCH(W53,$A$5:$K$5,0)),IF($P$11="NOBILITATO",INDEX($A$5:$K$23,MATCH($P$11,$A$5:$A$23,0),MATCH(W53,$A$5:$K$5,0))))))))))</f>
        <v>0</v>
      </c>
      <c r="O53" s="442">
        <f>MODULO!$AN$27</f>
        <v>0</v>
      </c>
      <c r="P53" s="341">
        <f>MODULO!$AR$27</f>
        <v>0</v>
      </c>
      <c r="Q53" s="335">
        <f>MODULO!$AV$27</f>
        <v>0</v>
      </c>
      <c r="R53" s="336"/>
      <c r="S53" s="336"/>
      <c r="T53" s="336"/>
      <c r="U53" s="336"/>
      <c r="V53" s="337"/>
      <c r="W53" s="448">
        <f>MODULO!$AZ$27</f>
        <v>0</v>
      </c>
      <c r="X53" s="454"/>
      <c r="Y53" s="450" t="s">
        <v>1</v>
      </c>
      <c r="Z53" s="451"/>
      <c r="AA53" s="451"/>
      <c r="AB53" s="451"/>
      <c r="AC53" s="451"/>
      <c r="AD53" s="452"/>
      <c r="AE53" s="372">
        <f>IF(AX52="4",AE54*2,IF(AND(AX52="3"),AE54*1,0))</f>
        <v>0</v>
      </c>
      <c r="AF53" s="374"/>
      <c r="AG53" s="437">
        <f>SUM(AG52)</f>
        <v>0</v>
      </c>
      <c r="AH53" s="438"/>
      <c r="AI53" s="439"/>
      <c r="AJ53" s="369">
        <f>SUM(W53)</f>
        <v>0</v>
      </c>
      <c r="AK53" s="370"/>
      <c r="AL53" s="371"/>
      <c r="AM53" s="372" t="str">
        <f>IF(BE52="HETTICH",Q53-40,IF(BE52="BLUM                                                    DEL CLIENTE",Q53-42,IF(BE52="BLUM",Q53-42,IF(BE52="Hettich Actro",Q53-42,IF(BE52="SALICE",Q53-42,IF(BE52="GRASS",Q53-42,IF(AND(BE52="A ROTELLA",AG52=15),Q53-55,IF(AND(BE52="A ROTELLA",AG52=14),Q53-53," "))))))))</f>
        <v xml:space="preserve"> </v>
      </c>
      <c r="AN53" s="373"/>
      <c r="AO53" s="373"/>
      <c r="AP53" s="373"/>
      <c r="AQ53" s="373"/>
      <c r="AR53" s="373"/>
      <c r="AS53" s="374"/>
      <c r="AT53" s="410"/>
      <c r="AU53" s="411"/>
      <c r="AV53" s="411"/>
      <c r="AW53" s="412"/>
      <c r="AX53" s="419"/>
      <c r="AY53" s="420"/>
      <c r="AZ53" s="421"/>
      <c r="BA53" s="428"/>
      <c r="BB53" s="429"/>
      <c r="BC53" s="429"/>
      <c r="BD53" s="430"/>
      <c r="BE53" s="391" t="str">
        <f>IF(AND($P$12="A ROTELLA",$O53&gt;0),"DEL CLIENTE",IF(AND($P$12="A ROTELLA GRIGIA",$O53&gt;0),"VPA GRIGIA",IF(AND($P$12&gt;1,$O53&gt;0),"PRED. C/MAN"," ")))</f>
        <v xml:space="preserve"> </v>
      </c>
      <c r="BF53" s="392"/>
      <c r="BG53" s="392"/>
      <c r="BH53" s="393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</row>
    <row r="54" spans="1:82" ht="18" customHeight="1">
      <c r="A54" s="213"/>
      <c r="B54" s="213"/>
      <c r="C54" s="213"/>
      <c r="D54" s="213"/>
      <c r="E54" s="213"/>
      <c r="F54" s="213"/>
      <c r="G54" s="213"/>
      <c r="H54" s="213"/>
      <c r="I54" s="192"/>
      <c r="J54" s="192"/>
      <c r="K54" s="192"/>
      <c r="L54" s="473"/>
      <c r="M54" s="541"/>
      <c r="N54" s="507"/>
      <c r="O54" s="467"/>
      <c r="P54" s="342"/>
      <c r="Q54" s="338"/>
      <c r="R54" s="339"/>
      <c r="S54" s="339"/>
      <c r="T54" s="339"/>
      <c r="U54" s="339"/>
      <c r="V54" s="340"/>
      <c r="W54" s="468"/>
      <c r="X54" s="454"/>
      <c r="Y54" s="397" t="s">
        <v>2</v>
      </c>
      <c r="Z54" s="398"/>
      <c r="AA54" s="398"/>
      <c r="AB54" s="399"/>
      <c r="AC54" s="399"/>
      <c r="AD54" s="400"/>
      <c r="AE54" s="401">
        <f>SUM(O53)</f>
        <v>0</v>
      </c>
      <c r="AF54" s="402"/>
      <c r="AG54" s="403">
        <f>IF(AND(AT52="NOB"),DATI!$C$12,IF(AND(AT52="MULT",BA52="FAGGIO LUCIDO"),DATI!$B$13,IF(AND(AT52="MULT",BA52="FRASSINO SBIANCATO BORDATO"),DATI!$B$12,IF(AND(AT52="MULT",BA52="SBIANCATO NO BORDO"),DATI!$B$12,IF(AND(AT52="MULT",BA52="LAMINATO BIANCO"),DATI!$B$12,IF(AND(AT52="MULT",BA52="ROVERE LUCIDO"),DATI!$C$12,IF(AND(AT52="MULT",BA52="ROVERE GREZZO"),DATI!$C$12,IF(AND(AT52="MASS"),DATI!$B$13,0))))))))</f>
        <v>0</v>
      </c>
      <c r="AH54" s="404"/>
      <c r="AI54" s="405"/>
      <c r="AJ54" s="401"/>
      <c r="AK54" s="406"/>
      <c r="AL54" s="402"/>
      <c r="AM54" s="440" t="str">
        <f>IF(OR($P$14="3 CON FRONTALE",$P$14="3 LATI"),AM52,IF(AND($W$15="SFILABILE DIETRO",AG52=14),AM52-8,IF(AND($W$15="SFILABILE DIETRO",AG52=15),AM52-9,IF(AND($W$15="SFILABILE DAVANTI",AG52=14),AM52-8,IF(AND($W$15="SFILABILE DAVANTI",AG52=15),AM52-9,IF(AND(AX52=3),AM52,IF(AND(BA52="FAGGIO GREZZO",AT52="MASS"),AM52-AG52+6,IF(AND(BA52="ROVERE GREZZO",AT52="MULT"),AM52-AG52+6,IF(AND(AX52=3),AM52,IF(AND(AT52="MULT",AG52=15),AM52-17,IF(AND(AT52="NOB"),AM52-17," ")))))))))))</f>
        <v xml:space="preserve"> </v>
      </c>
      <c r="AN54" s="441"/>
      <c r="AO54" s="441"/>
      <c r="AP54" s="17" t="s">
        <v>11</v>
      </c>
      <c r="AQ54" s="441" t="str">
        <f>IF(AND(AT52="MULT",AG52=15),AM53+11,IF(AND(AT52="MULT",AG52=12),AM53+10,IF(AND(AT52="NOB",AG52=14),AM53+10,IF(AND(AT52="MASS",AG52=14),AM53+10," "))))</f>
        <v xml:space="preserve"> </v>
      </c>
      <c r="AR54" s="441"/>
      <c r="AS54" s="453"/>
      <c r="AT54" s="413"/>
      <c r="AU54" s="414"/>
      <c r="AV54" s="414"/>
      <c r="AW54" s="415"/>
      <c r="AX54" s="422"/>
      <c r="AY54" s="423"/>
      <c r="AZ54" s="424"/>
      <c r="BA54" s="431"/>
      <c r="BB54" s="432"/>
      <c r="BC54" s="432"/>
      <c r="BD54" s="433"/>
      <c r="BE54" s="394"/>
      <c r="BF54" s="395"/>
      <c r="BG54" s="395"/>
      <c r="BH54" s="39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</row>
    <row r="55" spans="1:82" s="1" customFormat="1" ht="20.100000000000001" customHeight="1" thickBot="1">
      <c r="A55" s="213"/>
      <c r="B55" s="213"/>
      <c r="C55" s="213"/>
      <c r="D55" s="213"/>
      <c r="E55" s="213"/>
      <c r="F55" s="213"/>
      <c r="G55" s="213"/>
      <c r="H55" s="213"/>
      <c r="I55" s="192"/>
      <c r="J55" s="192"/>
      <c r="K55" s="19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4"/>
      <c r="Y55" s="385" t="str">
        <f>IF($AM55="FRONTALE A FILO SOPRA","FRONTALE","")</f>
        <v/>
      </c>
      <c r="Z55" s="386"/>
      <c r="AA55" s="386"/>
      <c r="AB55" s="381" t="str">
        <f>IF($AM55="FRONTALE A FILO SOPRA",$AB52,"")</f>
        <v/>
      </c>
      <c r="AC55" s="381"/>
      <c r="AD55" s="381"/>
      <c r="AE55" s="381" t="str">
        <f>IF($AM55="FRONTALE A FILO SOPRA",$AE54,"")</f>
        <v/>
      </c>
      <c r="AF55" s="381"/>
      <c r="AG55" s="381" t="str">
        <f>IF($AM55="FRONTALE A FILO SOPRA",$AG52,"")</f>
        <v/>
      </c>
      <c r="AH55" s="381"/>
      <c r="AI55" s="381"/>
      <c r="AJ55" s="381" t="str">
        <f>IF($AM55="FRONTALE A FILO SOPRA",$AJ52+20,"")</f>
        <v/>
      </c>
      <c r="AK55" s="381"/>
      <c r="AL55" s="381"/>
      <c r="AM55" s="387" t="str">
        <f>IF(AND($P$14="3 CON FRONTALE",$O53&gt;0),"FRONTALE A FILO SOPRA"," ")</f>
        <v xml:space="preserve"> </v>
      </c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7"/>
      <c r="AY55" s="387"/>
      <c r="AZ55" s="387"/>
      <c r="BA55" s="381"/>
      <c r="BB55" s="381"/>
      <c r="BC55" s="381"/>
      <c r="BD55" s="381"/>
      <c r="BE55" s="381"/>
      <c r="BF55" s="381"/>
      <c r="BG55" s="381"/>
      <c r="BH55" s="382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</row>
    <row r="56" spans="1:82" s="1" customFormat="1" ht="18" customHeight="1">
      <c r="A56" s="502" t="s">
        <v>32</v>
      </c>
      <c r="B56" s="503"/>
      <c r="C56" s="503"/>
      <c r="D56" s="503"/>
      <c r="E56" s="145" t="s">
        <v>129</v>
      </c>
      <c r="F56" s="145"/>
      <c r="G56" s="145"/>
      <c r="H56" s="194"/>
      <c r="I56" s="194"/>
      <c r="J56" s="526">
        <v>0.94</v>
      </c>
      <c r="K56" s="527"/>
      <c r="L56" s="8"/>
      <c r="M56" s="6"/>
      <c r="N56" s="6"/>
      <c r="O56" s="8"/>
      <c r="P56" s="8"/>
      <c r="Q56" s="8"/>
      <c r="R56" s="8"/>
      <c r="S56" s="8"/>
      <c r="T56" s="8"/>
      <c r="U56" s="8"/>
      <c r="V56" s="8"/>
      <c r="W56" s="8"/>
      <c r="X56" s="4"/>
      <c r="Y56" s="358" t="str">
        <f>IF($P$13="NO","NO FORI"," ")</f>
        <v xml:space="preserve"> </v>
      </c>
      <c r="Z56" s="358"/>
      <c r="AA56" s="358"/>
      <c r="AB56" s="358"/>
      <c r="AC56" s="358"/>
      <c r="AD56" s="358"/>
      <c r="AE56" s="358"/>
      <c r="AF56" s="358"/>
      <c r="AG56" s="86"/>
      <c r="AH56" s="86"/>
      <c r="AI56" s="21"/>
      <c r="AJ56" s="358" t="str">
        <f>IF($P$15="NO","SMONTATI"," ")</f>
        <v xml:space="preserve"> </v>
      </c>
      <c r="AK56" s="358"/>
      <c r="AL56" s="358"/>
      <c r="AM56" s="358"/>
      <c r="AN56" s="358"/>
      <c r="AO56" s="358"/>
      <c r="AP56" s="87"/>
      <c r="AQ56" s="87"/>
      <c r="AR56" s="87"/>
      <c r="AS56" s="87"/>
      <c r="AT56" s="359" t="str">
        <f>IF($W$15="SFILABILE DAVANTI","FONDO SFILABILE DAVANTI",IF($W$15="NO","NON DARE IL FONDO",IF(ISNUMBER(FIND("GREZZO",$Q$11)),"FONDO SFILABILE DIETRO",IF($W$15="SFILABILE DIETRO","FONDO SFILABILE DIETRO"," "))))</f>
        <v xml:space="preserve"> </v>
      </c>
      <c r="AU56" s="359"/>
      <c r="AV56" s="359"/>
      <c r="AW56" s="359"/>
      <c r="AX56" s="359"/>
      <c r="AY56" s="359"/>
      <c r="AZ56" s="359"/>
      <c r="BA56" s="359"/>
      <c r="BB56" s="359"/>
      <c r="BC56" s="359"/>
      <c r="BD56" s="359"/>
      <c r="BE56" s="359"/>
      <c r="BF56" s="359"/>
      <c r="BG56" s="359"/>
      <c r="BH56" s="359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</row>
    <row r="57" spans="1:82" s="1" customFormat="1" ht="18" customHeight="1">
      <c r="A57" s="504"/>
      <c r="B57" s="505"/>
      <c r="C57" s="505"/>
      <c r="D57" s="505"/>
      <c r="E57" s="146" t="s">
        <v>130</v>
      </c>
      <c r="F57" s="146"/>
      <c r="G57" s="146"/>
      <c r="H57" s="195"/>
      <c r="I57" s="195"/>
      <c r="J57" s="500">
        <v>31.5</v>
      </c>
      <c r="K57" s="50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4"/>
      <c r="Y57" s="567" t="s">
        <v>21</v>
      </c>
      <c r="Z57" s="567"/>
      <c r="AA57" s="567"/>
      <c r="AB57" s="567"/>
      <c r="AC57" s="570" t="str">
        <f>IF(MODULO!AL30&gt;0,MODULO!AL30,"")</f>
        <v/>
      </c>
      <c r="AD57" s="570"/>
      <c r="AE57" s="570"/>
      <c r="AF57" s="570"/>
      <c r="AG57" s="570"/>
      <c r="AH57" s="570"/>
      <c r="AI57" s="570"/>
      <c r="AJ57" s="570"/>
      <c r="AK57" s="570"/>
      <c r="AL57" s="570"/>
      <c r="AM57" s="570"/>
      <c r="AN57" s="570"/>
      <c r="AO57" s="570"/>
      <c r="AP57" s="570"/>
      <c r="AQ57" s="570"/>
      <c r="AR57" s="570"/>
      <c r="AS57" s="570"/>
      <c r="AT57" s="570"/>
      <c r="AU57" s="570"/>
      <c r="AV57" s="570"/>
      <c r="AW57" s="570"/>
      <c r="AX57" s="570"/>
      <c r="AY57" s="570"/>
      <c r="AZ57" s="570"/>
      <c r="BA57" s="570"/>
      <c r="BB57" s="570"/>
      <c r="BC57" s="570"/>
      <c r="BD57" s="570"/>
      <c r="BE57" s="570"/>
      <c r="BF57" s="570"/>
      <c r="BG57" s="570"/>
      <c r="BH57" s="570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</row>
    <row r="58" spans="1:82" s="1" customFormat="1" ht="18" customHeight="1">
      <c r="A58" s="193"/>
      <c r="B58" s="193"/>
      <c r="C58" s="193"/>
      <c r="D58" s="193"/>
      <c r="E58" s="133"/>
      <c r="F58" s="133"/>
      <c r="G58" s="133"/>
      <c r="H58"/>
      <c r="I58"/>
      <c r="J58" s="214"/>
      <c r="K58" s="21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4"/>
      <c r="Y58" s="46"/>
      <c r="Z58" s="46"/>
      <c r="AA58" s="46"/>
      <c r="AB58" s="46"/>
      <c r="AC58" s="571"/>
      <c r="AD58" s="571"/>
      <c r="AE58" s="571"/>
      <c r="AF58" s="571"/>
      <c r="AG58" s="571"/>
      <c r="AH58" s="571"/>
      <c r="AI58" s="571"/>
      <c r="AJ58" s="571"/>
      <c r="AK58" s="571"/>
      <c r="AL58" s="571"/>
      <c r="AM58" s="571"/>
      <c r="AN58" s="571"/>
      <c r="AO58" s="571"/>
      <c r="AP58" s="571"/>
      <c r="AQ58" s="571"/>
      <c r="AR58" s="571"/>
      <c r="AS58" s="571"/>
      <c r="AT58" s="571"/>
      <c r="AU58" s="571"/>
      <c r="AV58" s="571"/>
      <c r="AW58" s="571"/>
      <c r="AX58" s="571"/>
      <c r="AY58" s="571"/>
      <c r="AZ58" s="571"/>
      <c r="BA58" s="571"/>
      <c r="BB58" s="571"/>
      <c r="BC58" s="571"/>
      <c r="BD58" s="571"/>
      <c r="BE58" s="571"/>
      <c r="BF58" s="571"/>
      <c r="BG58" s="571"/>
      <c r="BH58" s="571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</row>
    <row r="59" spans="1:82" s="1" customFormat="1" ht="18" customHeight="1">
      <c r="A59" s="201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4"/>
      <c r="Y59" s="46"/>
      <c r="Z59" s="46"/>
      <c r="AA59" s="46"/>
      <c r="AB59" s="46"/>
      <c r="AC59" s="361" t="str">
        <f>IF(MODULO!AL35&gt;0,MODULO!AL35,"")</f>
        <v/>
      </c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B59" s="361"/>
      <c r="BC59" s="361"/>
      <c r="BD59" s="361"/>
      <c r="BE59" s="361"/>
      <c r="BF59" s="361"/>
      <c r="BG59" s="361"/>
      <c r="BH59" s="361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</row>
    <row r="60" spans="1:82" ht="18" customHeight="1">
      <c r="A60" s="172"/>
      <c r="B60" s="266"/>
      <c r="C60" s="169"/>
      <c r="D60" s="169"/>
      <c r="E60" s="169"/>
      <c r="F60" s="169"/>
      <c r="G60" s="169"/>
      <c r="H60" s="169"/>
      <c r="I60" s="169"/>
      <c r="J60" s="169"/>
      <c r="K60" s="169"/>
      <c r="L60" s="6"/>
      <c r="M60" s="8"/>
      <c r="N60" s="8"/>
      <c r="O60" s="6"/>
      <c r="P60" s="8"/>
      <c r="Q60" s="8"/>
      <c r="R60" s="8"/>
      <c r="S60" s="8"/>
      <c r="T60" s="8"/>
      <c r="U60" s="8"/>
      <c r="V60" s="8"/>
      <c r="W60" s="8"/>
      <c r="Y60" s="345" t="s">
        <v>12</v>
      </c>
      <c r="Z60" s="345"/>
      <c r="AA60" s="345"/>
      <c r="AB60" s="345"/>
      <c r="AC60" s="345"/>
      <c r="AD60" s="347">
        <f>AD11</f>
        <v>0</v>
      </c>
      <c r="AE60" s="347"/>
      <c r="AF60" s="347"/>
      <c r="AG60" s="347"/>
      <c r="AH60" s="347"/>
      <c r="AI60" s="347"/>
      <c r="AJ60" s="347"/>
      <c r="AK60" s="347"/>
      <c r="AL60" s="347"/>
      <c r="AM60" s="347"/>
      <c r="AN60" s="347"/>
      <c r="AO60" s="347"/>
      <c r="AP60" s="347"/>
      <c r="AQ60" s="347"/>
      <c r="AR60" s="347"/>
      <c r="AS60" s="347"/>
      <c r="AT60" s="347"/>
      <c r="AU60" s="347"/>
      <c r="AV60" s="347"/>
      <c r="AW60" s="345" t="s">
        <v>13</v>
      </c>
      <c r="AX60" s="345"/>
      <c r="AY60" s="345"/>
      <c r="AZ60" s="345"/>
      <c r="BA60" s="345"/>
      <c r="BB60" s="345"/>
      <c r="BC60" s="345"/>
      <c r="BD60" s="346" t="str">
        <f>BD11</f>
        <v/>
      </c>
      <c r="BE60" s="346"/>
      <c r="BF60" s="346"/>
      <c r="BG60" s="346"/>
      <c r="BH60" s="34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</row>
    <row r="61" spans="1:82" ht="15" customHeight="1">
      <c r="A61" s="173"/>
      <c r="B61" s="2"/>
      <c r="C61" s="169"/>
      <c r="D61" s="169"/>
      <c r="E61" s="169"/>
      <c r="F61" s="169"/>
      <c r="G61" s="169"/>
      <c r="H61" s="169"/>
      <c r="I61" s="169"/>
      <c r="J61" s="169"/>
      <c r="K61" s="169"/>
      <c r="L61" s="6"/>
      <c r="M61" s="8"/>
      <c r="N61" s="8"/>
      <c r="O61" s="6"/>
      <c r="P61" s="8"/>
      <c r="Q61" s="8"/>
      <c r="R61" s="8"/>
      <c r="S61" s="8"/>
      <c r="T61" s="8"/>
      <c r="U61" s="8"/>
      <c r="V61" s="8"/>
      <c r="W61" s="8"/>
      <c r="Y61" s="348" t="s">
        <v>89</v>
      </c>
      <c r="Z61" s="348"/>
      <c r="AA61" s="348"/>
      <c r="AB61" s="348"/>
      <c r="AC61" s="348"/>
      <c r="AD61" s="348"/>
      <c r="AE61" s="349">
        <f>AE12</f>
        <v>0</v>
      </c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</row>
    <row r="62" spans="1:82" ht="15" customHeight="1">
      <c r="A62" s="174"/>
      <c r="B62" s="2"/>
      <c r="C62" s="169"/>
      <c r="D62" s="169"/>
      <c r="E62" s="169"/>
      <c r="F62" s="169"/>
      <c r="G62" s="169"/>
      <c r="H62" s="169"/>
      <c r="I62" s="169"/>
      <c r="J62" s="169"/>
      <c r="K62" s="169"/>
      <c r="L62" s="6"/>
      <c r="M62" s="6"/>
      <c r="N62" s="6"/>
      <c r="O62" s="6"/>
      <c r="P62" s="8"/>
      <c r="Q62" s="8"/>
      <c r="R62" s="8"/>
      <c r="S62" s="8"/>
      <c r="T62" s="8"/>
      <c r="U62" s="8"/>
      <c r="V62" s="8"/>
      <c r="W62" s="8"/>
      <c r="Y62" s="350" t="s">
        <v>14</v>
      </c>
      <c r="Z62" s="350"/>
      <c r="AA62" s="350"/>
      <c r="AB62" s="350"/>
      <c r="AC62" s="350"/>
      <c r="AD62" s="350"/>
      <c r="AE62" s="350"/>
      <c r="AF62" s="347"/>
      <c r="AG62" s="347"/>
      <c r="AH62" s="347"/>
      <c r="AI62" s="34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 t="s">
        <v>15</v>
      </c>
      <c r="AV62" s="347"/>
      <c r="AW62" s="347"/>
      <c r="AX62" s="347">
        <f>AX13</f>
        <v>0</v>
      </c>
      <c r="AY62" s="347"/>
      <c r="AZ62" s="347"/>
      <c r="BA62" s="347"/>
      <c r="BB62" s="347"/>
      <c r="BC62" s="347"/>
      <c r="BD62" s="347"/>
      <c r="BE62" s="347"/>
      <c r="BF62" s="347"/>
      <c r="BG62" s="347"/>
      <c r="BH62" s="347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</row>
    <row r="63" spans="1:82" ht="12" customHeight="1">
      <c r="A63" s="173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6"/>
      <c r="M63" s="8"/>
      <c r="N63" s="8"/>
      <c r="O63" s="6"/>
      <c r="P63" s="8"/>
      <c r="Q63" s="8"/>
      <c r="R63" s="8"/>
      <c r="S63" s="8"/>
      <c r="T63" s="8"/>
      <c r="U63" s="8"/>
      <c r="V63" s="8"/>
      <c r="W63" s="8"/>
      <c r="Y63" s="351"/>
      <c r="Z63" s="351"/>
      <c r="AA63" s="351"/>
      <c r="AB63" s="351"/>
      <c r="AC63" s="351"/>
      <c r="AD63" s="351"/>
      <c r="AE63" s="351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</row>
    <row r="64" spans="1:82" ht="12" customHeight="1">
      <c r="A64" s="172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6"/>
      <c r="M64" s="8"/>
      <c r="N64" s="8"/>
      <c r="O64" s="6"/>
      <c r="P64" s="8"/>
      <c r="Q64" s="8"/>
      <c r="R64" s="8"/>
      <c r="S64" s="8"/>
      <c r="T64" s="8"/>
      <c r="U64" s="8"/>
      <c r="V64" s="8"/>
      <c r="W64" s="8"/>
      <c r="X64" s="20"/>
      <c r="Y64" s="330" t="s">
        <v>43</v>
      </c>
      <c r="Z64" s="331"/>
      <c r="AA64" s="331"/>
      <c r="AB64" s="331"/>
      <c r="AC64" s="331"/>
      <c r="AD64" s="332"/>
      <c r="AE64" s="330">
        <f>P11</f>
        <v>0</v>
      </c>
      <c r="AF64" s="331"/>
      <c r="AG64" s="331"/>
      <c r="AH64" s="331"/>
      <c r="AI64" s="331"/>
      <c r="AJ64" s="332"/>
      <c r="AK64" s="333">
        <f>Q11</f>
        <v>0</v>
      </c>
      <c r="AL64" s="333"/>
      <c r="AM64" s="333"/>
      <c r="AN64" s="333"/>
      <c r="AO64" s="333"/>
      <c r="AP64" s="333"/>
      <c r="AQ64" s="333"/>
      <c r="AR64" s="333"/>
      <c r="AS64" s="333"/>
      <c r="AT64" s="20"/>
      <c r="AU64" s="568" t="str">
        <f>MODULO!AJ20</f>
        <v>CASSETTI LEGNO  V.14</v>
      </c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</row>
    <row r="65" spans="1:82" ht="12" customHeight="1">
      <c r="A65" s="171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6"/>
      <c r="M65" s="8"/>
      <c r="N65" s="8"/>
      <c r="O65" s="6"/>
      <c r="P65" s="8"/>
      <c r="Q65" s="8"/>
      <c r="R65" s="8"/>
      <c r="S65" s="8"/>
      <c r="T65" s="8"/>
      <c r="U65" s="8"/>
      <c r="V65" s="8"/>
      <c r="W65" s="8"/>
      <c r="X65" s="20"/>
      <c r="Y65" s="330" t="s">
        <v>55</v>
      </c>
      <c r="Z65" s="331"/>
      <c r="AA65" s="331"/>
      <c r="AB65" s="331"/>
      <c r="AC65" s="331"/>
      <c r="AD65" s="332"/>
      <c r="AE65" s="378">
        <f>P12</f>
        <v>0</v>
      </c>
      <c r="AF65" s="379"/>
      <c r="AG65" s="379"/>
      <c r="AH65" s="379"/>
      <c r="AI65" s="379"/>
      <c r="AJ65" s="379"/>
      <c r="AK65" s="379"/>
      <c r="AL65" s="379"/>
      <c r="AM65" s="380"/>
      <c r="AN65" s="366"/>
      <c r="AO65" s="367"/>
      <c r="AP65" s="368"/>
      <c r="AQ65" s="330">
        <f>IF(ISNUMBER(FIND("HETTICH",$AE$65)),J46,IF(AND($AE$65="BLUM                                                    DEL CLIENTE"),J47,IF(AND($AE$65="BLUM"),J47,IF(AND($AE$65="GRASS"),J47,IF(AND($AE$65="SALICE"),J47,IF(AND($AE$65="ALTRO"),J47,IF(AND($AE$65="A ROTELLA"),J48,IF(AND($AE$65="A ROTELLA GRIGIA"),J48,0))))))))</f>
        <v>0</v>
      </c>
      <c r="AR65" s="331"/>
      <c r="AS65" s="332"/>
      <c r="AT65" s="20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</row>
    <row r="66" spans="1:82" ht="12" customHeight="1">
      <c r="A66" s="165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6"/>
      <c r="M66" s="6"/>
      <c r="N66" s="6"/>
      <c r="O66" s="6"/>
      <c r="P66" s="8"/>
      <c r="Q66" s="8" t="s">
        <v>2</v>
      </c>
      <c r="R66" s="8"/>
      <c r="S66" s="8"/>
      <c r="T66" s="8"/>
      <c r="U66" s="8"/>
      <c r="V66" s="8"/>
      <c r="W66" s="8"/>
      <c r="X66" s="20"/>
      <c r="Y66" s="330" t="s">
        <v>45</v>
      </c>
      <c r="Z66" s="331"/>
      <c r="AA66" s="331"/>
      <c r="AB66" s="331"/>
      <c r="AC66" s="331"/>
      <c r="AD66" s="332"/>
      <c r="AE66" s="330" t="str">
        <f>P13</f>
        <v>SI</v>
      </c>
      <c r="AF66" s="331"/>
      <c r="AG66" s="331"/>
      <c r="AH66" s="331"/>
      <c r="AI66" s="331"/>
      <c r="AJ66" s="332"/>
      <c r="AK66" s="366"/>
      <c r="AL66" s="367"/>
      <c r="AM66" s="368"/>
      <c r="AN66" s="330"/>
      <c r="AO66" s="331"/>
      <c r="AP66" s="332"/>
      <c r="AQ66" s="330"/>
      <c r="AR66" s="331"/>
      <c r="AS66" s="332"/>
      <c r="AT66" s="20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</row>
    <row r="67" spans="1:82" ht="12" customHeight="1">
      <c r="A67" s="175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6"/>
      <c r="M67" s="6"/>
      <c r="N67" s="6"/>
      <c r="O67" s="6"/>
      <c r="P67" s="8"/>
      <c r="Q67" s="362" t="b">
        <f>IF(ISNUMBER(FIND("FRASSINO",AK64)),J28,IF(ISNUMBER(FIND("SBIANCATO",AK64)),J28,IF(ISNUMBER(FIND("LAMINATO",AK64)),J28,IF(ISNUMBER(FIND("ROVERE GREZZO",AK64)),J32,IF(ISNUMBER(FIND("ROVERE VERNICIATO",AK64)),J33,IF(ISNUMBER(FIND("TESSUTO",AK64)),J38,IF(ISNUMBER(FIND("PELLE ANTRACITE",AK64)),J40,IF(ISNUMBER(FIND("FAGGIO LUCIDO",AK64)),J36,IF(ISNUMBER(FIND("FAGGIO GREZZO",AK64)),J35,IF(AND(AE64="NOBILITATO",AK64="BIANCO"),J38,IF(AND(AE64="NOBILITATO",AK64="NERO"),J38)))))))))))</f>
        <v>0</v>
      </c>
      <c r="R67" s="363"/>
      <c r="S67" s="363"/>
      <c r="T67" s="363"/>
      <c r="U67" s="363"/>
      <c r="V67" s="364"/>
      <c r="W67" s="16"/>
      <c r="X67" s="20"/>
      <c r="Y67" s="330" t="s">
        <v>44</v>
      </c>
      <c r="Z67" s="331"/>
      <c r="AA67" s="331"/>
      <c r="AB67" s="331"/>
      <c r="AC67" s="331"/>
      <c r="AD67" s="332"/>
      <c r="AE67" s="375">
        <f>P14</f>
        <v>0</v>
      </c>
      <c r="AF67" s="376"/>
      <c r="AG67" s="376"/>
      <c r="AH67" s="376"/>
      <c r="AI67" s="376"/>
      <c r="AJ67" s="377"/>
      <c r="AK67" s="366"/>
      <c r="AL67" s="367"/>
      <c r="AM67" s="368"/>
      <c r="AN67" s="330"/>
      <c r="AO67" s="331"/>
      <c r="AP67" s="332"/>
      <c r="AQ67" s="330"/>
      <c r="AR67" s="331"/>
      <c r="AS67" s="332"/>
      <c r="AT67" s="20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69"/>
      <c r="BH67" s="569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</row>
    <row r="68" spans="1:82" ht="12" customHeight="1">
      <c r="A68" s="176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6"/>
      <c r="M68" s="6"/>
      <c r="N68" s="6"/>
      <c r="O68" s="6"/>
      <c r="P68" s="8"/>
      <c r="Q68" s="564"/>
      <c r="R68" s="565"/>
      <c r="S68" s="565"/>
      <c r="T68" s="565"/>
      <c r="U68" s="565"/>
      <c r="V68" s="566"/>
      <c r="W68" s="8"/>
      <c r="X68" s="20"/>
      <c r="Y68" s="330" t="s">
        <v>57</v>
      </c>
      <c r="Z68" s="331"/>
      <c r="AA68" s="331"/>
      <c r="AB68" s="331"/>
      <c r="AC68" s="331"/>
      <c r="AD68" s="332"/>
      <c r="AE68" s="330">
        <f>P15</f>
        <v>0</v>
      </c>
      <c r="AF68" s="331"/>
      <c r="AG68" s="331"/>
      <c r="AH68" s="331"/>
      <c r="AI68" s="331"/>
      <c r="AJ68" s="332"/>
      <c r="AK68" s="366"/>
      <c r="AL68" s="367"/>
      <c r="AM68" s="368"/>
      <c r="AN68" s="366"/>
      <c r="AO68" s="367"/>
      <c r="AP68" s="368"/>
      <c r="AQ68" s="366">
        <f>IF($AE$68="SI",J44,0)</f>
        <v>0</v>
      </c>
      <c r="AR68" s="367"/>
      <c r="AS68" s="368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65"/>
      <c r="BE68" s="265"/>
      <c r="BF68" s="20"/>
      <c r="BG68" s="20"/>
      <c r="BH68" s="20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</row>
    <row r="69" spans="1:82" ht="12" customHeight="1">
      <c r="A69" s="165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6"/>
      <c r="M69" s="6"/>
      <c r="N69" s="6"/>
      <c r="O69" s="148"/>
      <c r="P69" s="125"/>
      <c r="Q69" s="564" t="s">
        <v>60</v>
      </c>
      <c r="R69" s="565"/>
      <c r="S69" s="565"/>
      <c r="T69" s="565"/>
      <c r="U69" s="565"/>
      <c r="V69" s="566"/>
      <c r="W69" s="25" t="s">
        <v>59</v>
      </c>
      <c r="X69" s="20"/>
      <c r="Y69" s="362" t="s">
        <v>3</v>
      </c>
      <c r="Z69" s="363"/>
      <c r="AA69" s="363"/>
      <c r="AB69" s="363"/>
      <c r="AC69" s="363"/>
      <c r="AD69" s="364"/>
      <c r="AE69" s="362" t="s">
        <v>63</v>
      </c>
      <c r="AF69" s="363"/>
      <c r="AG69" s="363"/>
      <c r="AH69" s="363"/>
      <c r="AI69" s="363"/>
      <c r="AJ69" s="364"/>
      <c r="AK69" s="362" t="s">
        <v>62</v>
      </c>
      <c r="AL69" s="363"/>
      <c r="AM69" s="363"/>
      <c r="AN69" s="363"/>
      <c r="AO69" s="363"/>
      <c r="AP69" s="364"/>
      <c r="AQ69" s="362" t="s">
        <v>29</v>
      </c>
      <c r="AR69" s="363"/>
      <c r="AS69" s="363"/>
      <c r="AT69" s="363"/>
      <c r="AU69" s="363"/>
      <c r="AV69" s="364"/>
      <c r="AW69" s="365" t="s">
        <v>54</v>
      </c>
      <c r="AX69" s="363"/>
      <c r="AY69" s="363"/>
      <c r="AZ69" s="363"/>
      <c r="BA69" s="363"/>
      <c r="BB69" s="364"/>
      <c r="BC69" s="365" t="s">
        <v>61</v>
      </c>
      <c r="BD69" s="363"/>
      <c r="BE69" s="363"/>
      <c r="BF69" s="363"/>
      <c r="BG69" s="363"/>
      <c r="BH69" s="364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</row>
    <row r="70" spans="1:82" ht="12" customHeight="1">
      <c r="A70" s="200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6"/>
      <c r="M70" s="6"/>
      <c r="N70" s="6"/>
      <c r="O70" s="329"/>
      <c r="P70" s="341"/>
      <c r="Q70" s="557">
        <f>IF($W$15="NO",0,($L17*$Q17)/1000000*$Q$67)</f>
        <v>0</v>
      </c>
      <c r="R70" s="558"/>
      <c r="S70" s="558"/>
      <c r="T70" s="558"/>
      <c r="U70" s="558"/>
      <c r="V70" s="559"/>
      <c r="W70" s="341" t="b">
        <f>IF($AE$67="3 CON FRONTALE",(($L17*2+$Q17)+($Q17*1.2+8))/1000*N17,IF(OR($AE$67="4 LATI CON FORI",$AE$67="4 SENZA FORI"),(($L17+$Q17)*2)/1000*N17,IF($AE$67="3 LATI",(($L17*2)+$Q17)/1000*N17)))</f>
        <v>0</v>
      </c>
      <c r="X70" s="563" t="s">
        <v>16</v>
      </c>
      <c r="Y70" s="353">
        <f>SUM(O17)</f>
        <v>0</v>
      </c>
      <c r="Z70" s="321"/>
      <c r="AA70" s="321"/>
      <c r="AB70" s="321"/>
      <c r="AC70" s="321"/>
      <c r="AD70" s="322"/>
      <c r="AE70" s="353">
        <f>IF(AM16&gt;0,SUM(AM16),0)</f>
        <v>0</v>
      </c>
      <c r="AF70" s="321"/>
      <c r="AG70" s="321"/>
      <c r="AH70" s="321"/>
      <c r="AI70" s="354">
        <f>$P$17</f>
        <v>0</v>
      </c>
      <c r="AJ70" s="355"/>
      <c r="AK70" s="353">
        <f>IF(AB16&gt;0,SUM(AB16),0)</f>
        <v>0</v>
      </c>
      <c r="AL70" s="321"/>
      <c r="AM70" s="321"/>
      <c r="AN70" s="321"/>
      <c r="AO70" s="354">
        <f>$Q$17</f>
        <v>0</v>
      </c>
      <c r="AP70" s="355"/>
      <c r="AQ70" s="353">
        <f>SUM(AJ17)</f>
        <v>0</v>
      </c>
      <c r="AR70" s="321"/>
      <c r="AS70" s="321"/>
      <c r="AT70" s="321"/>
      <c r="AU70" s="321"/>
      <c r="AV70" s="322"/>
      <c r="AW70" s="542">
        <f t="shared" ref="AW70" si="0">IF(BC70&gt;0,SUM(BC70/Y70),0)</f>
        <v>0</v>
      </c>
      <c r="AX70" s="546"/>
      <c r="AY70" s="546"/>
      <c r="AZ70" s="546"/>
      <c r="BA70" s="546"/>
      <c r="BB70" s="547"/>
      <c r="BC70" s="320">
        <f>IF($Y70&gt;=10,SUM($Q70+$W70+$AQ$68+$AQ$65)*$Y70,IF($Y70&lt;10,SUM(($Q70+$W70+$AQ$68)*1.2+$AQ$65)*$Y70,""))</f>
        <v>0</v>
      </c>
      <c r="BD70" s="550"/>
      <c r="BE70" s="550"/>
      <c r="BF70" s="550"/>
      <c r="BG70" s="550"/>
      <c r="BH70" s="551"/>
      <c r="BI70" s="6"/>
      <c r="BJ70" s="542">
        <f>SUM(BL70*2)</f>
        <v>0</v>
      </c>
      <c r="BK70" s="6"/>
      <c r="BL70" s="542">
        <f>IF(BC70&gt;0,SUM(BR70/Y70),0)</f>
        <v>0</v>
      </c>
      <c r="BM70" s="546"/>
      <c r="BN70" s="546"/>
      <c r="BO70" s="546"/>
      <c r="BP70" s="546"/>
      <c r="BQ70" s="547"/>
      <c r="BR70" s="320">
        <f>IF($Y70&gt;=10,SUM($Q70+$W70+$AQ$68+$AQ$65+Foglio1!$T$110)*$Y70,IF($Y70&lt;10,SUM(($Q70+$W70+$AQ$68)*1.2+$AQ$65+Foglio1!$T$110)*$Y70,""))</f>
        <v>0</v>
      </c>
      <c r="BS70" s="550"/>
      <c r="BT70" s="550"/>
      <c r="BU70" s="550"/>
      <c r="BV70" s="550"/>
      <c r="BW70" s="551"/>
      <c r="BX70" s="6"/>
      <c r="BY70" s="6"/>
      <c r="BZ70" s="6"/>
      <c r="CA70" s="6"/>
      <c r="CB70" s="6"/>
      <c r="CC70" s="6"/>
      <c r="CD70" s="6"/>
    </row>
    <row r="71" spans="1:82" ht="12" customHeight="1">
      <c r="A71" s="17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6"/>
      <c r="M71" s="6"/>
      <c r="N71" s="6"/>
      <c r="O71" s="329"/>
      <c r="P71" s="342"/>
      <c r="Q71" s="560"/>
      <c r="R71" s="561"/>
      <c r="S71" s="561"/>
      <c r="T71" s="561"/>
      <c r="U71" s="561"/>
      <c r="V71" s="562"/>
      <c r="W71" s="342"/>
      <c r="X71" s="563"/>
      <c r="Y71" s="323"/>
      <c r="Z71" s="324"/>
      <c r="AA71" s="324"/>
      <c r="AB71" s="324"/>
      <c r="AC71" s="324"/>
      <c r="AD71" s="325"/>
      <c r="AE71" s="323"/>
      <c r="AF71" s="324"/>
      <c r="AG71" s="324"/>
      <c r="AH71" s="324"/>
      <c r="AI71" s="23"/>
      <c r="AJ71" s="24"/>
      <c r="AK71" s="323"/>
      <c r="AL71" s="324"/>
      <c r="AM71" s="324"/>
      <c r="AN71" s="324"/>
      <c r="AO71" s="23"/>
      <c r="AP71" s="24"/>
      <c r="AQ71" s="323"/>
      <c r="AR71" s="324"/>
      <c r="AS71" s="324"/>
      <c r="AT71" s="324"/>
      <c r="AU71" s="324"/>
      <c r="AV71" s="325"/>
      <c r="AW71" s="543"/>
      <c r="AX71" s="548"/>
      <c r="AY71" s="548"/>
      <c r="AZ71" s="548"/>
      <c r="BA71" s="548"/>
      <c r="BB71" s="549"/>
      <c r="BC71" s="552"/>
      <c r="BD71" s="553"/>
      <c r="BE71" s="553"/>
      <c r="BF71" s="553"/>
      <c r="BG71" s="553"/>
      <c r="BH71" s="554"/>
      <c r="BI71" s="6"/>
      <c r="BJ71" s="543"/>
      <c r="BK71" s="6"/>
      <c r="BL71" s="543"/>
      <c r="BM71" s="548"/>
      <c r="BN71" s="548"/>
      <c r="BO71" s="548"/>
      <c r="BP71" s="548"/>
      <c r="BQ71" s="549"/>
      <c r="BR71" s="552"/>
      <c r="BS71" s="553"/>
      <c r="BT71" s="553"/>
      <c r="BU71" s="553"/>
      <c r="BV71" s="553"/>
      <c r="BW71" s="554"/>
      <c r="BX71" s="6"/>
      <c r="BY71" s="6"/>
      <c r="BZ71" s="6"/>
      <c r="CA71" s="6"/>
      <c r="CB71" s="6"/>
      <c r="CC71" s="6"/>
      <c r="CD71" s="6"/>
    </row>
    <row r="72" spans="1:82" ht="5.0999999999999996" customHeight="1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6"/>
      <c r="M72" s="6"/>
      <c r="N72" s="6"/>
      <c r="O72" s="149"/>
      <c r="P72" s="153"/>
      <c r="Q72" s="216"/>
      <c r="R72" s="124"/>
      <c r="S72" s="124"/>
      <c r="T72" s="124"/>
      <c r="U72" s="124"/>
      <c r="V72" s="217"/>
      <c r="W72" s="153"/>
      <c r="X72" s="151"/>
      <c r="Y72" s="207"/>
      <c r="Z72" s="208"/>
      <c r="AA72" s="208"/>
      <c r="AB72" s="208"/>
      <c r="AC72" s="208"/>
      <c r="AD72" s="209"/>
      <c r="AE72" s="207"/>
      <c r="AF72" s="208"/>
      <c r="AG72" s="208"/>
      <c r="AH72" s="208"/>
      <c r="AI72" s="210"/>
      <c r="AJ72" s="211"/>
      <c r="AK72" s="207"/>
      <c r="AL72" s="208"/>
      <c r="AM72" s="208"/>
      <c r="AN72" s="208"/>
      <c r="AO72" s="210"/>
      <c r="AP72" s="211"/>
      <c r="AQ72" s="207"/>
      <c r="AR72" s="208"/>
      <c r="AS72" s="208"/>
      <c r="AT72" s="208"/>
      <c r="AU72" s="208"/>
      <c r="AV72" s="209"/>
      <c r="AW72" s="212"/>
      <c r="AX72" s="218"/>
      <c r="AY72" s="218"/>
      <c r="AZ72" s="218"/>
      <c r="BA72" s="218"/>
      <c r="BB72" s="219"/>
      <c r="BC72" s="207"/>
      <c r="BD72" s="208"/>
      <c r="BE72" s="208"/>
      <c r="BF72" s="208"/>
      <c r="BG72" s="208"/>
      <c r="BH72" s="209"/>
      <c r="BI72" s="6"/>
      <c r="BJ72" s="212"/>
      <c r="BK72" s="6"/>
      <c r="BL72" s="212"/>
      <c r="BM72" s="218"/>
      <c r="BN72" s="218"/>
      <c r="BO72" s="218"/>
      <c r="BP72" s="218"/>
      <c r="BQ72" s="219"/>
      <c r="BR72" s="207"/>
      <c r="BS72" s="208"/>
      <c r="BT72" s="208"/>
      <c r="BU72" s="208"/>
      <c r="BV72" s="208"/>
      <c r="BW72" s="209"/>
      <c r="BX72" s="6"/>
      <c r="BY72" s="6"/>
      <c r="BZ72" s="6"/>
      <c r="CA72" s="6"/>
      <c r="CB72" s="6"/>
      <c r="CC72" s="6"/>
      <c r="CD72" s="6"/>
    </row>
    <row r="73" spans="1:82" ht="5.0999999999999996" customHeight="1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6"/>
      <c r="M73" s="6"/>
      <c r="N73" s="6"/>
      <c r="O73" s="149"/>
      <c r="P73" s="153"/>
      <c r="Q73" s="216"/>
      <c r="R73" s="124"/>
      <c r="S73" s="124"/>
      <c r="T73" s="124"/>
      <c r="U73" s="124"/>
      <c r="V73" s="217"/>
      <c r="W73" s="153"/>
      <c r="X73" s="151"/>
      <c r="Y73" s="207"/>
      <c r="Z73" s="208"/>
      <c r="AA73" s="208"/>
      <c r="AB73" s="208"/>
      <c r="AC73" s="208"/>
      <c r="AD73" s="209"/>
      <c r="AE73" s="207"/>
      <c r="AF73" s="208"/>
      <c r="AG73" s="208"/>
      <c r="AH73" s="208"/>
      <c r="AI73" s="210"/>
      <c r="AJ73" s="211"/>
      <c r="AK73" s="207"/>
      <c r="AL73" s="208"/>
      <c r="AM73" s="208"/>
      <c r="AN73" s="208"/>
      <c r="AO73" s="210"/>
      <c r="AP73" s="211"/>
      <c r="AQ73" s="207"/>
      <c r="AR73" s="208"/>
      <c r="AS73" s="208"/>
      <c r="AT73" s="208"/>
      <c r="AU73" s="208"/>
      <c r="AV73" s="209"/>
      <c r="AW73" s="212"/>
      <c r="AX73" s="218"/>
      <c r="AY73" s="218"/>
      <c r="AZ73" s="218"/>
      <c r="BA73" s="218"/>
      <c r="BB73" s="219"/>
      <c r="BC73" s="207"/>
      <c r="BD73" s="208"/>
      <c r="BE73" s="208"/>
      <c r="BF73" s="208"/>
      <c r="BG73" s="208"/>
      <c r="BH73" s="209"/>
      <c r="BI73" s="6"/>
      <c r="BJ73" s="212"/>
      <c r="BK73" s="6"/>
      <c r="BL73" s="212"/>
      <c r="BM73" s="218"/>
      <c r="BN73" s="218"/>
      <c r="BO73" s="218"/>
      <c r="BP73" s="218"/>
      <c r="BQ73" s="219"/>
      <c r="BR73" s="207"/>
      <c r="BS73" s="208"/>
      <c r="BT73" s="208"/>
      <c r="BU73" s="208"/>
      <c r="BV73" s="208"/>
      <c r="BW73" s="209"/>
      <c r="BX73" s="6"/>
      <c r="BY73" s="6"/>
      <c r="BZ73" s="6"/>
      <c r="CA73" s="6"/>
      <c r="CB73" s="6"/>
      <c r="CC73" s="6"/>
      <c r="CD73" s="6"/>
    </row>
    <row r="74" spans="1:82" ht="12" customHeight="1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6"/>
      <c r="M74" s="6"/>
      <c r="N74" s="6"/>
      <c r="O74" s="329"/>
      <c r="P74" s="341"/>
      <c r="Q74" s="557">
        <f>IF($W$15="NO",0,($L21*$Q21)/1000000*$Q$67)</f>
        <v>0</v>
      </c>
      <c r="R74" s="558"/>
      <c r="S74" s="558"/>
      <c r="T74" s="558"/>
      <c r="U74" s="558"/>
      <c r="V74" s="559"/>
      <c r="W74" s="341" t="b">
        <f>IF($AE$67="3 CON FRONTALE",(($L21*2+$Q21)+($Q21*1.2+8))/1000*N21,IF(OR($AE$67="4 LATI CON FORI",$AE$67="4 SENZA FORI"),(($L21+$Q21)*2)/1000*N21,IF($AE$67="3 LATI",(($L21*2)+$Q21)/1000*N21)))</f>
        <v>0</v>
      </c>
      <c r="X74" s="563" t="s">
        <v>17</v>
      </c>
      <c r="Y74" s="353">
        <f>SUM(O21)</f>
        <v>0</v>
      </c>
      <c r="Z74" s="321"/>
      <c r="AA74" s="321"/>
      <c r="AB74" s="321"/>
      <c r="AC74" s="321"/>
      <c r="AD74" s="322"/>
      <c r="AE74" s="353">
        <f>IF(AM20&gt;0,SUM(AM20),0)</f>
        <v>0</v>
      </c>
      <c r="AF74" s="321"/>
      <c r="AG74" s="321"/>
      <c r="AH74" s="321"/>
      <c r="AI74" s="354">
        <f>$P$21</f>
        <v>0</v>
      </c>
      <c r="AJ74" s="355"/>
      <c r="AK74" s="353">
        <f>IF(AB20&gt;0,SUM(AB20),0)</f>
        <v>0</v>
      </c>
      <c r="AL74" s="321"/>
      <c r="AM74" s="321"/>
      <c r="AN74" s="321"/>
      <c r="AO74" s="354">
        <f>$Q$21</f>
        <v>0</v>
      </c>
      <c r="AP74" s="355"/>
      <c r="AQ74" s="353">
        <f>SUM(AJ21)</f>
        <v>0</v>
      </c>
      <c r="AR74" s="321"/>
      <c r="AS74" s="321"/>
      <c r="AT74" s="321"/>
      <c r="AU74" s="321"/>
      <c r="AV74" s="322"/>
      <c r="AW74" s="542">
        <f t="shared" ref="AW74" si="1">IF(BC74&gt;0,SUM(BC74/Y74),0)</f>
        <v>0</v>
      </c>
      <c r="AX74" s="546"/>
      <c r="AY74" s="546"/>
      <c r="AZ74" s="546"/>
      <c r="BA74" s="546"/>
      <c r="BB74" s="547"/>
      <c r="BC74" s="320">
        <f>IF($Y74&gt;=10,SUM($Q74+$W74+$AQ$68+$AQ$65)*$Y74,IF($Y74&lt;10,SUM(($Q74+$W74+$AQ$68)*1.2+$AQ$65)*$Y74,""))</f>
        <v>0</v>
      </c>
      <c r="BD74" s="550"/>
      <c r="BE74" s="550"/>
      <c r="BF74" s="550"/>
      <c r="BG74" s="550"/>
      <c r="BH74" s="551"/>
      <c r="BI74" s="6"/>
      <c r="BJ74" s="542">
        <f>SUM(BL74*2)</f>
        <v>0</v>
      </c>
      <c r="BK74" s="6"/>
      <c r="BL74" s="542">
        <f>IF(BC74&gt;0,SUM(BR74/Y74),0)</f>
        <v>0</v>
      </c>
      <c r="BM74" s="546"/>
      <c r="BN74" s="546"/>
      <c r="BO74" s="546"/>
      <c r="BP74" s="546"/>
      <c r="BQ74" s="547"/>
      <c r="BR74" s="320">
        <f>IF($Y74&gt;=10,SUM($Q74+$W74+$AQ$68+$AQ$65+Foglio1!$T$112)*$Y74,IF($Y74&lt;10,SUM(($Q74+$W74+$AQ$68)*1.2+$AQ$65+Foglio1!$T$112)*$Y74,""))</f>
        <v>0</v>
      </c>
      <c r="BS74" s="550"/>
      <c r="BT74" s="550"/>
      <c r="BU74" s="550"/>
      <c r="BV74" s="550"/>
      <c r="BW74" s="551"/>
      <c r="BX74" s="6"/>
      <c r="BY74" s="6"/>
      <c r="BZ74" s="6"/>
      <c r="CA74" s="6"/>
      <c r="CB74" s="6"/>
      <c r="CC74" s="6"/>
      <c r="CD74" s="6"/>
    </row>
    <row r="75" spans="1:82" ht="12" customHeight="1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6"/>
      <c r="M75" s="6"/>
      <c r="N75" s="6"/>
      <c r="O75" s="329"/>
      <c r="P75" s="342"/>
      <c r="Q75" s="560"/>
      <c r="R75" s="561"/>
      <c r="S75" s="561"/>
      <c r="T75" s="561"/>
      <c r="U75" s="561"/>
      <c r="V75" s="562"/>
      <c r="W75" s="342"/>
      <c r="X75" s="563"/>
      <c r="Y75" s="323"/>
      <c r="Z75" s="324"/>
      <c r="AA75" s="324"/>
      <c r="AB75" s="324"/>
      <c r="AC75" s="324"/>
      <c r="AD75" s="325"/>
      <c r="AE75" s="323"/>
      <c r="AF75" s="324"/>
      <c r="AG75" s="324"/>
      <c r="AH75" s="324"/>
      <c r="AI75" s="23"/>
      <c r="AJ75" s="24"/>
      <c r="AK75" s="323"/>
      <c r="AL75" s="324"/>
      <c r="AM75" s="324"/>
      <c r="AN75" s="324"/>
      <c r="AO75" s="23"/>
      <c r="AP75" s="24"/>
      <c r="AQ75" s="323"/>
      <c r="AR75" s="324"/>
      <c r="AS75" s="324"/>
      <c r="AT75" s="324"/>
      <c r="AU75" s="324"/>
      <c r="AV75" s="325"/>
      <c r="AW75" s="543"/>
      <c r="AX75" s="548"/>
      <c r="AY75" s="548"/>
      <c r="AZ75" s="548"/>
      <c r="BA75" s="548"/>
      <c r="BB75" s="549"/>
      <c r="BC75" s="552"/>
      <c r="BD75" s="553"/>
      <c r="BE75" s="553"/>
      <c r="BF75" s="553"/>
      <c r="BG75" s="553"/>
      <c r="BH75" s="554"/>
      <c r="BI75" s="6"/>
      <c r="BJ75" s="543"/>
      <c r="BK75" s="6"/>
      <c r="BL75" s="543"/>
      <c r="BM75" s="548"/>
      <c r="BN75" s="548"/>
      <c r="BO75" s="548"/>
      <c r="BP75" s="548"/>
      <c r="BQ75" s="549"/>
      <c r="BR75" s="552"/>
      <c r="BS75" s="553"/>
      <c r="BT75" s="553"/>
      <c r="BU75" s="553"/>
      <c r="BV75" s="553"/>
      <c r="BW75" s="554"/>
      <c r="BX75" s="6"/>
      <c r="BY75" s="6"/>
      <c r="BZ75" s="6"/>
      <c r="CA75" s="6"/>
      <c r="CB75" s="6"/>
      <c r="CC75" s="6"/>
      <c r="CD75" s="6"/>
    </row>
    <row r="76" spans="1:82" ht="5.0999999999999996" customHeight="1">
      <c r="L76" s="6"/>
      <c r="M76" s="6"/>
      <c r="N76" s="6"/>
      <c r="O76" s="149"/>
      <c r="P76" s="153"/>
      <c r="Q76" s="216"/>
      <c r="R76" s="124"/>
      <c r="S76" s="124"/>
      <c r="T76" s="124"/>
      <c r="U76" s="124"/>
      <c r="V76" s="217"/>
      <c r="W76" s="153"/>
      <c r="X76" s="151"/>
      <c r="Y76" s="207"/>
      <c r="Z76" s="208"/>
      <c r="AA76" s="208"/>
      <c r="AB76" s="208"/>
      <c r="AC76" s="208"/>
      <c r="AD76" s="209"/>
      <c r="AE76" s="207"/>
      <c r="AF76" s="208"/>
      <c r="AG76" s="208"/>
      <c r="AH76" s="208"/>
      <c r="AI76" s="210"/>
      <c r="AJ76" s="211"/>
      <c r="AK76" s="207"/>
      <c r="AL76" s="208"/>
      <c r="AM76" s="208"/>
      <c r="AN76" s="208"/>
      <c r="AO76" s="210"/>
      <c r="AP76" s="211"/>
      <c r="AQ76" s="207"/>
      <c r="AR76" s="208"/>
      <c r="AS76" s="208"/>
      <c r="AT76" s="208"/>
      <c r="AU76" s="208"/>
      <c r="AV76" s="209"/>
      <c r="AW76" s="212"/>
      <c r="AX76" s="218"/>
      <c r="AY76" s="218"/>
      <c r="AZ76" s="218"/>
      <c r="BA76" s="218"/>
      <c r="BB76" s="219"/>
      <c r="BC76" s="207"/>
      <c r="BD76" s="208"/>
      <c r="BE76" s="208"/>
      <c r="BF76" s="208"/>
      <c r="BG76" s="208"/>
      <c r="BH76" s="209"/>
      <c r="BI76" s="6"/>
      <c r="BJ76" s="212"/>
      <c r="BK76" s="6"/>
      <c r="BL76" s="212"/>
      <c r="BM76" s="218"/>
      <c r="BN76" s="218"/>
      <c r="BO76" s="218"/>
      <c r="BP76" s="218"/>
      <c r="BQ76" s="219"/>
      <c r="BR76" s="207"/>
      <c r="BS76" s="208"/>
      <c r="BT76" s="208"/>
      <c r="BU76" s="208"/>
      <c r="BV76" s="208"/>
      <c r="BW76" s="209"/>
      <c r="BX76" s="6"/>
      <c r="BY76" s="6"/>
      <c r="BZ76" s="6"/>
      <c r="CA76" s="6"/>
      <c r="CB76" s="6"/>
      <c r="CC76" s="6"/>
      <c r="CD76" s="6"/>
    </row>
    <row r="77" spans="1:82" ht="5.0999999999999996" customHeight="1">
      <c r="L77" s="6"/>
      <c r="M77" s="6"/>
      <c r="N77" s="6"/>
      <c r="O77" s="149"/>
      <c r="P77" s="153"/>
      <c r="Q77" s="216"/>
      <c r="R77" s="124"/>
      <c r="S77" s="124"/>
      <c r="T77" s="124"/>
      <c r="U77" s="124"/>
      <c r="V77" s="217"/>
      <c r="W77" s="153"/>
      <c r="X77" s="151"/>
      <c r="Y77" s="207"/>
      <c r="Z77" s="208"/>
      <c r="AA77" s="208"/>
      <c r="AB77" s="208"/>
      <c r="AC77" s="208"/>
      <c r="AD77" s="209"/>
      <c r="AE77" s="207"/>
      <c r="AF77" s="208"/>
      <c r="AG77" s="208"/>
      <c r="AH77" s="208"/>
      <c r="AI77" s="210"/>
      <c r="AJ77" s="211"/>
      <c r="AK77" s="207"/>
      <c r="AL77" s="208"/>
      <c r="AM77" s="208"/>
      <c r="AN77" s="208"/>
      <c r="AO77" s="210"/>
      <c r="AP77" s="211"/>
      <c r="AQ77" s="207"/>
      <c r="AR77" s="208"/>
      <c r="AS77" s="208"/>
      <c r="AT77" s="208"/>
      <c r="AU77" s="208"/>
      <c r="AV77" s="209"/>
      <c r="AW77" s="212"/>
      <c r="AX77" s="218"/>
      <c r="AY77" s="218"/>
      <c r="AZ77" s="218"/>
      <c r="BA77" s="218"/>
      <c r="BB77" s="219"/>
      <c r="BC77" s="207"/>
      <c r="BD77" s="208"/>
      <c r="BE77" s="208"/>
      <c r="BF77" s="208"/>
      <c r="BG77" s="208"/>
      <c r="BH77" s="209"/>
      <c r="BI77" s="6"/>
      <c r="BJ77" s="212"/>
      <c r="BK77" s="6"/>
      <c r="BL77" s="212"/>
      <c r="BM77" s="218"/>
      <c r="BN77" s="218"/>
      <c r="BO77" s="218"/>
      <c r="BP77" s="218"/>
      <c r="BQ77" s="219"/>
      <c r="BR77" s="207"/>
      <c r="BS77" s="208"/>
      <c r="BT77" s="208"/>
      <c r="BU77" s="208"/>
      <c r="BV77" s="208"/>
      <c r="BW77" s="209"/>
      <c r="BX77" s="6"/>
      <c r="BY77" s="6"/>
      <c r="BZ77" s="6"/>
      <c r="CA77" s="6"/>
      <c r="CB77" s="6"/>
      <c r="CC77" s="6"/>
      <c r="CD77" s="6"/>
    </row>
    <row r="78" spans="1:82" ht="12" customHeight="1">
      <c r="L78" s="6"/>
      <c r="M78" s="6"/>
      <c r="N78" s="6"/>
      <c r="O78" s="329"/>
      <c r="P78" s="341"/>
      <c r="Q78" s="557">
        <f>IF($W$15="NO",0,($L25*$Q25)/1000000*$Q$67)</f>
        <v>0</v>
      </c>
      <c r="R78" s="558"/>
      <c r="S78" s="558"/>
      <c r="T78" s="558"/>
      <c r="U78" s="558"/>
      <c r="V78" s="559"/>
      <c r="W78" s="341" t="b">
        <f>IF($AE$67="3 CON FRONTALE",(($L25*2+$Q25)+($Q25*1.2+8))/1000*N25,IF(OR($AE$67="4 LATI CON FORI",$AE$67="4 SENZA FORI"),(($L25+$Q25)*2)/1000*N25,IF($AE$67="3 LATI",(($L25*2)+$Q25)/1000*N25)))</f>
        <v>0</v>
      </c>
      <c r="X78" s="563" t="s">
        <v>18</v>
      </c>
      <c r="Y78" s="353">
        <f>SUM(O25)</f>
        <v>0</v>
      </c>
      <c r="Z78" s="321"/>
      <c r="AA78" s="321"/>
      <c r="AB78" s="321"/>
      <c r="AC78" s="321"/>
      <c r="AD78" s="322"/>
      <c r="AE78" s="353">
        <f>IF(AM24&gt;0,SUM(AM24),0)</f>
        <v>0</v>
      </c>
      <c r="AF78" s="321"/>
      <c r="AG78" s="321"/>
      <c r="AH78" s="321"/>
      <c r="AI78" s="354">
        <f>$P$25</f>
        <v>0</v>
      </c>
      <c r="AJ78" s="355"/>
      <c r="AK78" s="353">
        <f>IF(AB24&gt;0,SUM(AB24),0)</f>
        <v>0</v>
      </c>
      <c r="AL78" s="321"/>
      <c r="AM78" s="321"/>
      <c r="AN78" s="321"/>
      <c r="AO78" s="354">
        <f>$Q$25</f>
        <v>0</v>
      </c>
      <c r="AP78" s="355"/>
      <c r="AQ78" s="353">
        <f>SUM(AJ25)</f>
        <v>0</v>
      </c>
      <c r="AR78" s="321"/>
      <c r="AS78" s="321"/>
      <c r="AT78" s="321"/>
      <c r="AU78" s="321"/>
      <c r="AV78" s="322"/>
      <c r="AW78" s="542">
        <f t="shared" ref="AW78" si="2">IF(BC78&gt;0,SUM(BC78/Y78),0)</f>
        <v>0</v>
      </c>
      <c r="AX78" s="546"/>
      <c r="AY78" s="546"/>
      <c r="AZ78" s="546"/>
      <c r="BA78" s="546"/>
      <c r="BB78" s="547"/>
      <c r="BC78" s="320">
        <f>IF($Y78&gt;=10,SUM($Q78+$W78+$AQ$68+$AQ$65)*$Y78,IF($Y78&lt;10,SUM(($Q78+$W78+$AQ$68)*1.2+$AQ$65)*$Y78,""))</f>
        <v>0</v>
      </c>
      <c r="BD78" s="550"/>
      <c r="BE78" s="550"/>
      <c r="BF78" s="550"/>
      <c r="BG78" s="550"/>
      <c r="BH78" s="551"/>
      <c r="BI78" s="6"/>
      <c r="BJ78" s="542">
        <f>SUM(BL78*2)</f>
        <v>0</v>
      </c>
      <c r="BK78" s="6"/>
      <c r="BL78" s="542">
        <f>IF(BC78&gt;0,SUM(BR78/Y78),0)</f>
        <v>0</v>
      </c>
      <c r="BM78" s="546"/>
      <c r="BN78" s="546"/>
      <c r="BO78" s="546"/>
      <c r="BP78" s="546"/>
      <c r="BQ78" s="547"/>
      <c r="BR78" s="320">
        <f>IF($Y78&gt;=10,SUM($Q78+$W78+$AQ$68+$AQ$65+Foglio1!$T$114)*$Y78,IF($Y78&lt;10,SUM(($Q78+$W78+$AQ$68)*1.2+$AQ$65+Foglio1!$T$114)*$Y78,""))</f>
        <v>0</v>
      </c>
      <c r="BS78" s="550"/>
      <c r="BT78" s="550"/>
      <c r="BU78" s="550"/>
      <c r="BV78" s="550"/>
      <c r="BW78" s="551"/>
      <c r="BX78" s="6"/>
      <c r="BY78" s="6"/>
      <c r="BZ78" s="6"/>
      <c r="CA78" s="6"/>
      <c r="CB78" s="6"/>
      <c r="CC78" s="6"/>
      <c r="CD78" s="6"/>
    </row>
    <row r="79" spans="1:82" ht="12" customHeight="1">
      <c r="L79" s="6"/>
      <c r="M79" s="6"/>
      <c r="N79" s="6"/>
      <c r="O79" s="329"/>
      <c r="P79" s="342"/>
      <c r="Q79" s="560"/>
      <c r="R79" s="561"/>
      <c r="S79" s="561"/>
      <c r="T79" s="561"/>
      <c r="U79" s="561"/>
      <c r="V79" s="562"/>
      <c r="W79" s="342"/>
      <c r="X79" s="563"/>
      <c r="Y79" s="323"/>
      <c r="Z79" s="324"/>
      <c r="AA79" s="324"/>
      <c r="AB79" s="324"/>
      <c r="AC79" s="324"/>
      <c r="AD79" s="325"/>
      <c r="AE79" s="323"/>
      <c r="AF79" s="324"/>
      <c r="AG79" s="324"/>
      <c r="AH79" s="324"/>
      <c r="AI79" s="23"/>
      <c r="AJ79" s="24"/>
      <c r="AK79" s="323"/>
      <c r="AL79" s="324"/>
      <c r="AM79" s="324"/>
      <c r="AN79" s="324"/>
      <c r="AO79" s="23"/>
      <c r="AP79" s="24"/>
      <c r="AQ79" s="323"/>
      <c r="AR79" s="324"/>
      <c r="AS79" s="324"/>
      <c r="AT79" s="324"/>
      <c r="AU79" s="324"/>
      <c r="AV79" s="325"/>
      <c r="AW79" s="543"/>
      <c r="AX79" s="548"/>
      <c r="AY79" s="548"/>
      <c r="AZ79" s="548"/>
      <c r="BA79" s="548"/>
      <c r="BB79" s="549"/>
      <c r="BC79" s="552"/>
      <c r="BD79" s="553"/>
      <c r="BE79" s="553"/>
      <c r="BF79" s="553"/>
      <c r="BG79" s="553"/>
      <c r="BH79" s="554"/>
      <c r="BI79" s="6"/>
      <c r="BJ79" s="543"/>
      <c r="BK79" s="6"/>
      <c r="BL79" s="543"/>
      <c r="BM79" s="548"/>
      <c r="BN79" s="548"/>
      <c r="BO79" s="548"/>
      <c r="BP79" s="548"/>
      <c r="BQ79" s="549"/>
      <c r="BR79" s="552"/>
      <c r="BS79" s="553"/>
      <c r="BT79" s="553"/>
      <c r="BU79" s="553"/>
      <c r="BV79" s="553"/>
      <c r="BW79" s="554"/>
      <c r="BX79" s="6"/>
      <c r="BY79" s="6"/>
      <c r="BZ79" s="6"/>
      <c r="CA79" s="6"/>
      <c r="CB79" s="6"/>
      <c r="CC79" s="6"/>
      <c r="CD79" s="6"/>
    </row>
    <row r="80" spans="1:82" ht="5.0999999999999996" customHeight="1">
      <c r="L80" s="6"/>
      <c r="M80" s="6"/>
      <c r="N80" s="6"/>
      <c r="O80" s="149"/>
      <c r="P80" s="153"/>
      <c r="Q80" s="216"/>
      <c r="R80" s="124"/>
      <c r="S80" s="124"/>
      <c r="T80" s="124"/>
      <c r="U80" s="124"/>
      <c r="V80" s="217"/>
      <c r="W80" s="153"/>
      <c r="X80" s="151"/>
      <c r="Y80" s="207"/>
      <c r="Z80" s="208"/>
      <c r="AA80" s="208"/>
      <c r="AB80" s="208"/>
      <c r="AC80" s="208"/>
      <c r="AD80" s="209"/>
      <c r="AE80" s="207"/>
      <c r="AF80" s="208"/>
      <c r="AG80" s="208"/>
      <c r="AH80" s="208"/>
      <c r="AI80" s="210"/>
      <c r="AJ80" s="211"/>
      <c r="AK80" s="207"/>
      <c r="AL80" s="208"/>
      <c r="AM80" s="208"/>
      <c r="AN80" s="208"/>
      <c r="AO80" s="210"/>
      <c r="AP80" s="211"/>
      <c r="AQ80" s="207"/>
      <c r="AR80" s="208"/>
      <c r="AS80" s="208"/>
      <c r="AT80" s="208"/>
      <c r="AU80" s="208"/>
      <c r="AV80" s="209"/>
      <c r="AW80" s="212"/>
      <c r="AX80" s="218"/>
      <c r="AY80" s="218"/>
      <c r="AZ80" s="218"/>
      <c r="BA80" s="218"/>
      <c r="BB80" s="219"/>
      <c r="BC80" s="207"/>
      <c r="BD80" s="208"/>
      <c r="BE80" s="208"/>
      <c r="BF80" s="208"/>
      <c r="BG80" s="208"/>
      <c r="BH80" s="209"/>
      <c r="BI80" s="6"/>
      <c r="BJ80" s="212"/>
      <c r="BK80" s="6"/>
      <c r="BL80" s="212"/>
      <c r="BM80" s="218"/>
      <c r="BN80" s="218"/>
      <c r="BO80" s="218"/>
      <c r="BP80" s="218"/>
      <c r="BQ80" s="219"/>
      <c r="BR80" s="207"/>
      <c r="BS80" s="208"/>
      <c r="BT80" s="208"/>
      <c r="BU80" s="208"/>
      <c r="BV80" s="208"/>
      <c r="BW80" s="209"/>
      <c r="BX80" s="6"/>
      <c r="BY80" s="6"/>
      <c r="BZ80" s="6"/>
      <c r="CA80" s="6"/>
      <c r="CB80" s="6"/>
      <c r="CC80" s="6"/>
      <c r="CD80" s="6"/>
    </row>
    <row r="81" spans="12:82" ht="5.0999999999999996" customHeight="1">
      <c r="L81" s="6"/>
      <c r="M81" s="6"/>
      <c r="N81" s="6"/>
      <c r="O81" s="149"/>
      <c r="P81" s="153"/>
      <c r="Q81" s="216"/>
      <c r="R81" s="124"/>
      <c r="S81" s="124"/>
      <c r="T81" s="124"/>
      <c r="U81" s="124"/>
      <c r="V81" s="217"/>
      <c r="W81" s="153"/>
      <c r="X81" s="151"/>
      <c r="Y81" s="207"/>
      <c r="Z81" s="208"/>
      <c r="AA81" s="208"/>
      <c r="AB81" s="208"/>
      <c r="AC81" s="208"/>
      <c r="AD81" s="209"/>
      <c r="AE81" s="207"/>
      <c r="AF81" s="208"/>
      <c r="AG81" s="208"/>
      <c r="AH81" s="208"/>
      <c r="AI81" s="210"/>
      <c r="AJ81" s="211"/>
      <c r="AK81" s="207"/>
      <c r="AL81" s="208"/>
      <c r="AM81" s="208"/>
      <c r="AN81" s="208"/>
      <c r="AO81" s="210"/>
      <c r="AP81" s="211"/>
      <c r="AQ81" s="207"/>
      <c r="AR81" s="208"/>
      <c r="AS81" s="208"/>
      <c r="AT81" s="208"/>
      <c r="AU81" s="208"/>
      <c r="AV81" s="209"/>
      <c r="AW81" s="212"/>
      <c r="AX81" s="218"/>
      <c r="AY81" s="218"/>
      <c r="AZ81" s="218"/>
      <c r="BA81" s="218"/>
      <c r="BB81" s="219"/>
      <c r="BC81" s="207"/>
      <c r="BD81" s="208"/>
      <c r="BE81" s="208"/>
      <c r="BF81" s="208"/>
      <c r="BG81" s="208"/>
      <c r="BH81" s="209"/>
      <c r="BI81" s="6"/>
      <c r="BJ81" s="212"/>
      <c r="BK81" s="6"/>
      <c r="BL81" s="212"/>
      <c r="BM81" s="218"/>
      <c r="BN81" s="218"/>
      <c r="BO81" s="218"/>
      <c r="BP81" s="218"/>
      <c r="BQ81" s="219"/>
      <c r="BR81" s="207"/>
      <c r="BS81" s="208"/>
      <c r="BT81" s="208"/>
      <c r="BU81" s="208"/>
      <c r="BV81" s="208"/>
      <c r="BW81" s="209"/>
      <c r="BX81" s="6"/>
      <c r="BY81" s="6"/>
      <c r="BZ81" s="6"/>
      <c r="CA81" s="6"/>
      <c r="CB81" s="6"/>
      <c r="CC81" s="6"/>
      <c r="CD81" s="6"/>
    </row>
    <row r="82" spans="12:82" ht="12" customHeight="1">
      <c r="L82" s="6"/>
      <c r="M82" s="6"/>
      <c r="N82" s="6"/>
      <c r="O82" s="329"/>
      <c r="P82" s="341"/>
      <c r="Q82" s="557">
        <f>IF($W$15="NO",0,($L29*$Q29)/1000000*$Q$67)</f>
        <v>0</v>
      </c>
      <c r="R82" s="558"/>
      <c r="S82" s="558"/>
      <c r="T82" s="558"/>
      <c r="U82" s="558"/>
      <c r="V82" s="559"/>
      <c r="W82" s="341" t="b">
        <f>IF($AE$67="3 CON FRONTALE",(($L29*2+$Q29)+($Q29*1.2+8))/1000*N29,IF(OR($AE$67="4 LATI CON FORI",$AE$67="4 SENZA FORI"),(($L29+$Q29)*2)/1000*N29,IF($AE$67="3 LATI",(($L29*2)+$Q29)/1000*N29)))</f>
        <v>0</v>
      </c>
      <c r="X82" s="563" t="s">
        <v>19</v>
      </c>
      <c r="Y82" s="353">
        <f>SUM(O29)</f>
        <v>0</v>
      </c>
      <c r="Z82" s="321"/>
      <c r="AA82" s="321"/>
      <c r="AB82" s="321"/>
      <c r="AC82" s="321"/>
      <c r="AD82" s="322"/>
      <c r="AE82" s="353">
        <f>IF(AM28&gt;0,SUM(AM28),0)</f>
        <v>0</v>
      </c>
      <c r="AF82" s="321"/>
      <c r="AG82" s="321"/>
      <c r="AH82" s="321"/>
      <c r="AI82" s="354">
        <f>$P$29</f>
        <v>0</v>
      </c>
      <c r="AJ82" s="355"/>
      <c r="AK82" s="353">
        <f>IF(AB28&gt;0,SUM(AB28),0)</f>
        <v>0</v>
      </c>
      <c r="AL82" s="321"/>
      <c r="AM82" s="321"/>
      <c r="AN82" s="321"/>
      <c r="AO82" s="354">
        <f>$Q$29</f>
        <v>0</v>
      </c>
      <c r="AP82" s="355"/>
      <c r="AQ82" s="353">
        <f>SUM(AJ29)</f>
        <v>0</v>
      </c>
      <c r="AR82" s="321"/>
      <c r="AS82" s="321"/>
      <c r="AT82" s="321"/>
      <c r="AU82" s="321"/>
      <c r="AV82" s="322"/>
      <c r="AW82" s="542">
        <f>IF(BC82&gt;0,SUM(BC82/Y82),0)</f>
        <v>0</v>
      </c>
      <c r="AX82" s="546"/>
      <c r="AY82" s="546"/>
      <c r="AZ82" s="546"/>
      <c r="BA82" s="546"/>
      <c r="BB82" s="547"/>
      <c r="BC82" s="320">
        <f>IF($Y82&gt;=10,SUM($Q82+$W82+$AQ$68+$AQ$65)*$Y82,IF($Y82&lt;10,SUM(($Q82+$W82+$AQ$68)*1.2+$AQ$65)*$Y82,""))</f>
        <v>0</v>
      </c>
      <c r="BD82" s="550"/>
      <c r="BE82" s="550"/>
      <c r="BF82" s="550"/>
      <c r="BG82" s="550"/>
      <c r="BH82" s="551"/>
      <c r="BI82" s="6"/>
      <c r="BJ82" s="542">
        <f>SUM(BL82*2)</f>
        <v>0</v>
      </c>
      <c r="BK82" s="6"/>
      <c r="BL82" s="542">
        <f>IF(BC82&gt;0,SUM(BR82/Y82),0)</f>
        <v>0</v>
      </c>
      <c r="BM82" s="546"/>
      <c r="BN82" s="546"/>
      <c r="BO82" s="546"/>
      <c r="BP82" s="546"/>
      <c r="BQ82" s="547"/>
      <c r="BR82" s="320">
        <f>IF($Y82&gt;=10,SUM($Q82+$W82+$AQ$68+$AQ$65+Foglio1!$T$116)*$Y82,IF($Y82&lt;10,SUM(($Q82+$W82+$AQ$68)*1.2+$AQ$65+Foglio1!$T$116)*$Y82,""))</f>
        <v>0</v>
      </c>
      <c r="BS82" s="550"/>
      <c r="BT82" s="550"/>
      <c r="BU82" s="550"/>
      <c r="BV82" s="550"/>
      <c r="BW82" s="551"/>
      <c r="BX82" s="6"/>
      <c r="BY82" s="6"/>
      <c r="BZ82" s="6"/>
      <c r="CA82" s="6"/>
      <c r="CB82" s="6"/>
      <c r="CC82" s="6"/>
      <c r="CD82" s="6"/>
    </row>
    <row r="83" spans="12:82" ht="12" customHeight="1">
      <c r="L83" s="6"/>
      <c r="M83" s="6"/>
      <c r="N83" s="6"/>
      <c r="O83" s="329"/>
      <c r="P83" s="342"/>
      <c r="Q83" s="560"/>
      <c r="R83" s="561"/>
      <c r="S83" s="561"/>
      <c r="T83" s="561"/>
      <c r="U83" s="561"/>
      <c r="V83" s="562"/>
      <c r="W83" s="342"/>
      <c r="X83" s="563"/>
      <c r="Y83" s="323"/>
      <c r="Z83" s="324"/>
      <c r="AA83" s="324"/>
      <c r="AB83" s="324"/>
      <c r="AC83" s="324"/>
      <c r="AD83" s="325"/>
      <c r="AE83" s="323"/>
      <c r="AF83" s="324"/>
      <c r="AG83" s="324"/>
      <c r="AH83" s="324"/>
      <c r="AI83" s="23"/>
      <c r="AJ83" s="24"/>
      <c r="AK83" s="323"/>
      <c r="AL83" s="324"/>
      <c r="AM83" s="324"/>
      <c r="AN83" s="324"/>
      <c r="AO83" s="23"/>
      <c r="AP83" s="24"/>
      <c r="AQ83" s="323"/>
      <c r="AR83" s="324"/>
      <c r="AS83" s="324"/>
      <c r="AT83" s="324"/>
      <c r="AU83" s="324"/>
      <c r="AV83" s="325"/>
      <c r="AW83" s="543"/>
      <c r="AX83" s="548"/>
      <c r="AY83" s="548"/>
      <c r="AZ83" s="548"/>
      <c r="BA83" s="548"/>
      <c r="BB83" s="549"/>
      <c r="BC83" s="552"/>
      <c r="BD83" s="553"/>
      <c r="BE83" s="553"/>
      <c r="BF83" s="553"/>
      <c r="BG83" s="553"/>
      <c r="BH83" s="554"/>
      <c r="BI83" s="6"/>
      <c r="BJ83" s="543"/>
      <c r="BK83" s="6"/>
      <c r="BL83" s="543"/>
      <c r="BM83" s="548"/>
      <c r="BN83" s="548"/>
      <c r="BO83" s="548"/>
      <c r="BP83" s="548"/>
      <c r="BQ83" s="549"/>
      <c r="BR83" s="552"/>
      <c r="BS83" s="553"/>
      <c r="BT83" s="553"/>
      <c r="BU83" s="553"/>
      <c r="BV83" s="553"/>
      <c r="BW83" s="554"/>
      <c r="BX83" s="6"/>
      <c r="BY83" s="6"/>
      <c r="BZ83" s="6"/>
      <c r="CA83" s="6"/>
      <c r="CB83" s="6"/>
      <c r="CC83" s="6"/>
      <c r="CD83" s="6"/>
    </row>
    <row r="84" spans="12:82" ht="5.0999999999999996" customHeight="1">
      <c r="L84" s="6"/>
      <c r="M84" s="6"/>
      <c r="N84" s="6"/>
      <c r="O84" s="149"/>
      <c r="P84" s="153"/>
      <c r="Q84" s="216"/>
      <c r="R84" s="124"/>
      <c r="S84" s="124"/>
      <c r="T84" s="124"/>
      <c r="U84" s="124"/>
      <c r="V84" s="217"/>
      <c r="W84" s="153"/>
      <c r="X84" s="151"/>
      <c r="Y84" s="207"/>
      <c r="Z84" s="208"/>
      <c r="AA84" s="208"/>
      <c r="AB84" s="208"/>
      <c r="AC84" s="208"/>
      <c r="AD84" s="209"/>
      <c r="AE84" s="207"/>
      <c r="AF84" s="208"/>
      <c r="AG84" s="208"/>
      <c r="AH84" s="208"/>
      <c r="AI84" s="210"/>
      <c r="AJ84" s="211"/>
      <c r="AK84" s="207"/>
      <c r="AL84" s="208"/>
      <c r="AM84" s="208"/>
      <c r="AN84" s="208"/>
      <c r="AO84" s="210"/>
      <c r="AP84" s="211"/>
      <c r="AQ84" s="207"/>
      <c r="AR84" s="208"/>
      <c r="AS84" s="208"/>
      <c r="AT84" s="208"/>
      <c r="AU84" s="208"/>
      <c r="AV84" s="209"/>
      <c r="AW84" s="212"/>
      <c r="AX84" s="218"/>
      <c r="AY84" s="218"/>
      <c r="AZ84" s="218"/>
      <c r="BA84" s="218"/>
      <c r="BB84" s="219"/>
      <c r="BC84" s="207"/>
      <c r="BD84" s="208"/>
      <c r="BE84" s="208"/>
      <c r="BF84" s="208"/>
      <c r="BG84" s="208"/>
      <c r="BH84" s="209"/>
      <c r="BI84" s="6"/>
      <c r="BJ84" s="212"/>
      <c r="BK84" s="6"/>
      <c r="BL84" s="212"/>
      <c r="BM84" s="218"/>
      <c r="BN84" s="218"/>
      <c r="BO84" s="218"/>
      <c r="BP84" s="218"/>
      <c r="BQ84" s="219"/>
      <c r="BR84" s="207"/>
      <c r="BS84" s="208"/>
      <c r="BT84" s="208"/>
      <c r="BU84" s="208"/>
      <c r="BV84" s="208"/>
      <c r="BW84" s="209"/>
      <c r="BX84" s="6"/>
      <c r="BY84" s="6"/>
      <c r="BZ84" s="6"/>
      <c r="CA84" s="6"/>
      <c r="CB84" s="6"/>
      <c r="CC84" s="6"/>
      <c r="CD84" s="6"/>
    </row>
    <row r="85" spans="12:82" ht="5.0999999999999996" customHeight="1">
      <c r="L85" s="6"/>
      <c r="M85" s="6"/>
      <c r="N85" s="6"/>
      <c r="O85" s="149"/>
      <c r="P85" s="153"/>
      <c r="Q85" s="216"/>
      <c r="R85" s="124"/>
      <c r="S85" s="124"/>
      <c r="T85" s="124"/>
      <c r="U85" s="124"/>
      <c r="V85" s="217"/>
      <c r="W85" s="153"/>
      <c r="X85" s="151"/>
      <c r="Y85" s="207"/>
      <c r="Z85" s="208"/>
      <c r="AA85" s="208"/>
      <c r="AB85" s="208"/>
      <c r="AC85" s="208"/>
      <c r="AD85" s="209"/>
      <c r="AE85" s="207"/>
      <c r="AF85" s="208"/>
      <c r="AG85" s="208"/>
      <c r="AH85" s="208"/>
      <c r="AI85" s="210"/>
      <c r="AJ85" s="211"/>
      <c r="AK85" s="207"/>
      <c r="AL85" s="208"/>
      <c r="AM85" s="208"/>
      <c r="AN85" s="208"/>
      <c r="AO85" s="210"/>
      <c r="AP85" s="211"/>
      <c r="AQ85" s="207"/>
      <c r="AR85" s="208"/>
      <c r="AS85" s="208"/>
      <c r="AT85" s="208"/>
      <c r="AU85" s="208"/>
      <c r="AV85" s="209"/>
      <c r="AW85" s="212"/>
      <c r="AX85" s="218"/>
      <c r="AY85" s="218"/>
      <c r="AZ85" s="218"/>
      <c r="BA85" s="218"/>
      <c r="BB85" s="219"/>
      <c r="BC85" s="207"/>
      <c r="BD85" s="208"/>
      <c r="BE85" s="208"/>
      <c r="BF85" s="208"/>
      <c r="BG85" s="208"/>
      <c r="BH85" s="209"/>
      <c r="BI85" s="6"/>
      <c r="BJ85" s="212"/>
      <c r="BK85" s="6"/>
      <c r="BL85" s="212"/>
      <c r="BM85" s="218"/>
      <c r="BN85" s="218"/>
      <c r="BO85" s="218"/>
      <c r="BP85" s="218"/>
      <c r="BQ85" s="219"/>
      <c r="BR85" s="207"/>
      <c r="BS85" s="208"/>
      <c r="BT85" s="208"/>
      <c r="BU85" s="208"/>
      <c r="BV85" s="208"/>
      <c r="BW85" s="209"/>
      <c r="BX85" s="6"/>
      <c r="BY85" s="6"/>
      <c r="BZ85" s="6"/>
      <c r="CA85" s="6"/>
      <c r="CB85" s="6"/>
      <c r="CC85" s="6"/>
      <c r="CD85" s="6"/>
    </row>
    <row r="86" spans="12:82" ht="12" customHeight="1">
      <c r="L86" s="6"/>
      <c r="M86" s="6"/>
      <c r="N86" s="6"/>
      <c r="O86" s="329"/>
      <c r="P86" s="341"/>
      <c r="Q86" s="557">
        <f>IF($W$15="NO",0,($L33*$Q33)/1000000*$Q$67)</f>
        <v>0</v>
      </c>
      <c r="R86" s="558"/>
      <c r="S86" s="558"/>
      <c r="T86" s="558"/>
      <c r="U86" s="558"/>
      <c r="V86" s="559"/>
      <c r="W86" s="341" t="b">
        <f>IF($AE$67="3 CON FRONTALE",(($L33*2+$Q33)+($Q33*1.2+8))/1000*N33,IF(OR($AE$67="4 LATI CON FORI",$AE$67="4 SENZA FORI"),(($L33+$Q33)*2)/1000*N33,IF($AE$67="3 LATI",(($L33*2)+$Q33)/1000*N33)))</f>
        <v>0</v>
      </c>
      <c r="X86" s="563" t="s">
        <v>22</v>
      </c>
      <c r="Y86" s="353">
        <f>SUM(O33)</f>
        <v>0</v>
      </c>
      <c r="Z86" s="321"/>
      <c r="AA86" s="321"/>
      <c r="AB86" s="321"/>
      <c r="AC86" s="321"/>
      <c r="AD86" s="322"/>
      <c r="AE86" s="353">
        <f>IF(AM32&gt;0,SUM(AM32),0)</f>
        <v>0</v>
      </c>
      <c r="AF86" s="321"/>
      <c r="AG86" s="321"/>
      <c r="AH86" s="321"/>
      <c r="AI86" s="354">
        <f>$P$33</f>
        <v>0</v>
      </c>
      <c r="AJ86" s="355"/>
      <c r="AK86" s="353">
        <f>IF(AB32&gt;0,SUM(AB32),0)</f>
        <v>0</v>
      </c>
      <c r="AL86" s="321"/>
      <c r="AM86" s="321"/>
      <c r="AN86" s="321"/>
      <c r="AO86" s="354">
        <f>$Q$33</f>
        <v>0</v>
      </c>
      <c r="AP86" s="355"/>
      <c r="AQ86" s="353">
        <f>SUM(AJ33)</f>
        <v>0</v>
      </c>
      <c r="AR86" s="321"/>
      <c r="AS86" s="321"/>
      <c r="AT86" s="321"/>
      <c r="AU86" s="321"/>
      <c r="AV86" s="322"/>
      <c r="AW86" s="542">
        <f t="shared" ref="AW86" si="3">IF(BC86&gt;0,SUM(BC86/Y86),0)</f>
        <v>0</v>
      </c>
      <c r="AX86" s="546"/>
      <c r="AY86" s="546"/>
      <c r="AZ86" s="546"/>
      <c r="BA86" s="546"/>
      <c r="BB86" s="547"/>
      <c r="BC86" s="320">
        <f>IF($Y86&gt;=10,SUM($Q86+$W86+$AQ$68+$AQ$65)*$Y86,IF($Y86&lt;10,SUM(($Q86+$W86+$AQ$68)*1.2+$AQ$65)*$Y86,""))</f>
        <v>0</v>
      </c>
      <c r="BD86" s="550"/>
      <c r="BE86" s="550"/>
      <c r="BF86" s="550"/>
      <c r="BG86" s="550"/>
      <c r="BH86" s="551"/>
      <c r="BI86" s="6"/>
      <c r="BJ86" s="542">
        <f>SUM(BL86*2)</f>
        <v>0</v>
      </c>
      <c r="BK86" s="6"/>
      <c r="BL86" s="542">
        <f>IF(BC86&gt;0,SUM(BR86/Y86),0)</f>
        <v>0</v>
      </c>
      <c r="BM86" s="546"/>
      <c r="BN86" s="546"/>
      <c r="BO86" s="546"/>
      <c r="BP86" s="546"/>
      <c r="BQ86" s="547"/>
      <c r="BR86" s="320">
        <f>IF($Y86&gt;=10,SUM($Q86+$W86+$AQ$68+$AQ$65+Foglio1!$T$118)*$Y86,IF($Y86&lt;10,SUM(($Q86+$W86+$AQ$68)*1.2+$AQ$65+Foglio1!$T$118)*$Y86,""))</f>
        <v>0</v>
      </c>
      <c r="BS86" s="550"/>
      <c r="BT86" s="550"/>
      <c r="BU86" s="550"/>
      <c r="BV86" s="550"/>
      <c r="BW86" s="551"/>
      <c r="BX86" s="6"/>
      <c r="BY86" s="6"/>
      <c r="BZ86" s="6"/>
      <c r="CA86" s="6"/>
      <c r="CB86" s="6"/>
      <c r="CC86" s="6"/>
      <c r="CD86" s="6"/>
    </row>
    <row r="87" spans="12:82" ht="12" customHeight="1">
      <c r="L87" s="6"/>
      <c r="M87" s="6"/>
      <c r="N87" s="6"/>
      <c r="O87" s="329"/>
      <c r="P87" s="342"/>
      <c r="Q87" s="560"/>
      <c r="R87" s="561"/>
      <c r="S87" s="561"/>
      <c r="T87" s="561"/>
      <c r="U87" s="561"/>
      <c r="V87" s="562"/>
      <c r="W87" s="342"/>
      <c r="X87" s="563"/>
      <c r="Y87" s="323"/>
      <c r="Z87" s="324"/>
      <c r="AA87" s="324"/>
      <c r="AB87" s="324"/>
      <c r="AC87" s="324"/>
      <c r="AD87" s="325"/>
      <c r="AE87" s="323"/>
      <c r="AF87" s="324"/>
      <c r="AG87" s="324"/>
      <c r="AH87" s="324"/>
      <c r="AI87" s="23"/>
      <c r="AJ87" s="24"/>
      <c r="AK87" s="323"/>
      <c r="AL87" s="324"/>
      <c r="AM87" s="324"/>
      <c r="AN87" s="324"/>
      <c r="AO87" s="23"/>
      <c r="AP87" s="24"/>
      <c r="AQ87" s="323"/>
      <c r="AR87" s="324"/>
      <c r="AS87" s="324"/>
      <c r="AT87" s="324"/>
      <c r="AU87" s="324"/>
      <c r="AV87" s="325"/>
      <c r="AW87" s="543"/>
      <c r="AX87" s="548"/>
      <c r="AY87" s="548"/>
      <c r="AZ87" s="548"/>
      <c r="BA87" s="548"/>
      <c r="BB87" s="549"/>
      <c r="BC87" s="552"/>
      <c r="BD87" s="553"/>
      <c r="BE87" s="553"/>
      <c r="BF87" s="553"/>
      <c r="BG87" s="553"/>
      <c r="BH87" s="554"/>
      <c r="BI87" s="6"/>
      <c r="BJ87" s="543"/>
      <c r="BK87" s="6"/>
      <c r="BL87" s="543"/>
      <c r="BM87" s="548"/>
      <c r="BN87" s="548"/>
      <c r="BO87" s="548"/>
      <c r="BP87" s="548"/>
      <c r="BQ87" s="549"/>
      <c r="BR87" s="552"/>
      <c r="BS87" s="553"/>
      <c r="BT87" s="553"/>
      <c r="BU87" s="553"/>
      <c r="BV87" s="553"/>
      <c r="BW87" s="554"/>
      <c r="BX87" s="6"/>
      <c r="BY87" s="6"/>
      <c r="BZ87" s="6"/>
      <c r="CA87" s="6"/>
      <c r="CB87" s="6"/>
      <c r="CC87" s="6"/>
      <c r="CD87" s="6"/>
    </row>
    <row r="88" spans="12:82" ht="5.0999999999999996" customHeight="1">
      <c r="L88" s="6"/>
      <c r="M88" s="6"/>
      <c r="N88" s="6"/>
      <c r="O88" s="149"/>
      <c r="P88" s="153"/>
      <c r="Q88" s="216"/>
      <c r="R88" s="124"/>
      <c r="S88" s="124"/>
      <c r="T88" s="124"/>
      <c r="U88" s="124"/>
      <c r="V88" s="217"/>
      <c r="W88" s="153"/>
      <c r="X88" s="151"/>
      <c r="Y88" s="207"/>
      <c r="Z88" s="208"/>
      <c r="AA88" s="208"/>
      <c r="AB88" s="208"/>
      <c r="AC88" s="208"/>
      <c r="AD88" s="209"/>
      <c r="AE88" s="207"/>
      <c r="AF88" s="208"/>
      <c r="AG88" s="208"/>
      <c r="AH88" s="208"/>
      <c r="AI88" s="210"/>
      <c r="AJ88" s="211"/>
      <c r="AK88" s="207"/>
      <c r="AL88" s="208"/>
      <c r="AM88" s="208"/>
      <c r="AN88" s="208"/>
      <c r="AO88" s="210"/>
      <c r="AP88" s="211"/>
      <c r="AQ88" s="207"/>
      <c r="AR88" s="208"/>
      <c r="AS88" s="208"/>
      <c r="AT88" s="208"/>
      <c r="AU88" s="208"/>
      <c r="AV88" s="209"/>
      <c r="AW88" s="212"/>
      <c r="AX88" s="218"/>
      <c r="AY88" s="218"/>
      <c r="AZ88" s="218"/>
      <c r="BA88" s="218"/>
      <c r="BB88" s="219"/>
      <c r="BC88" s="207"/>
      <c r="BD88" s="208"/>
      <c r="BE88" s="208"/>
      <c r="BF88" s="208"/>
      <c r="BG88" s="208"/>
      <c r="BH88" s="209"/>
      <c r="BI88" s="6"/>
      <c r="BJ88" s="212"/>
      <c r="BK88" s="6"/>
      <c r="BL88" s="212"/>
      <c r="BM88" s="218"/>
      <c r="BN88" s="218"/>
      <c r="BO88" s="218"/>
      <c r="BP88" s="218"/>
      <c r="BQ88" s="219"/>
      <c r="BR88" s="207"/>
      <c r="BS88" s="208"/>
      <c r="BT88" s="208"/>
      <c r="BU88" s="208"/>
      <c r="BV88" s="208"/>
      <c r="BW88" s="209"/>
      <c r="BX88" s="6"/>
      <c r="BY88" s="6"/>
      <c r="BZ88" s="6"/>
      <c r="CA88" s="6"/>
      <c r="CB88" s="6"/>
      <c r="CC88" s="6"/>
      <c r="CD88" s="6"/>
    </row>
    <row r="89" spans="12:82" ht="5.0999999999999996" customHeight="1">
      <c r="L89" s="6"/>
      <c r="M89" s="6"/>
      <c r="N89" s="6"/>
      <c r="O89" s="149"/>
      <c r="P89" s="153"/>
      <c r="Q89" s="216"/>
      <c r="R89" s="124"/>
      <c r="S89" s="124"/>
      <c r="T89" s="124"/>
      <c r="U89" s="124"/>
      <c r="V89" s="217"/>
      <c r="W89" s="153"/>
      <c r="X89" s="151"/>
      <c r="Y89" s="207"/>
      <c r="Z89" s="208"/>
      <c r="AA89" s="208"/>
      <c r="AB89" s="208"/>
      <c r="AC89" s="208"/>
      <c r="AD89" s="209"/>
      <c r="AE89" s="207"/>
      <c r="AF89" s="208"/>
      <c r="AG89" s="208"/>
      <c r="AH89" s="208"/>
      <c r="AI89" s="210"/>
      <c r="AJ89" s="211"/>
      <c r="AK89" s="207"/>
      <c r="AL89" s="208"/>
      <c r="AM89" s="208"/>
      <c r="AN89" s="208"/>
      <c r="AO89" s="210"/>
      <c r="AP89" s="211"/>
      <c r="AQ89" s="207"/>
      <c r="AR89" s="208"/>
      <c r="AS89" s="208"/>
      <c r="AT89" s="208"/>
      <c r="AU89" s="208"/>
      <c r="AV89" s="209"/>
      <c r="AW89" s="212"/>
      <c r="AX89" s="218"/>
      <c r="AY89" s="218"/>
      <c r="AZ89" s="218"/>
      <c r="BA89" s="218"/>
      <c r="BB89" s="219"/>
      <c r="BC89" s="207"/>
      <c r="BD89" s="208"/>
      <c r="BE89" s="208"/>
      <c r="BF89" s="208"/>
      <c r="BG89" s="208"/>
      <c r="BH89" s="209"/>
      <c r="BI89" s="6"/>
      <c r="BJ89" s="212"/>
      <c r="BK89" s="6"/>
      <c r="BL89" s="212"/>
      <c r="BM89" s="218"/>
      <c r="BN89" s="218"/>
      <c r="BO89" s="218"/>
      <c r="BP89" s="218"/>
      <c r="BQ89" s="219"/>
      <c r="BR89" s="207"/>
      <c r="BS89" s="208"/>
      <c r="BT89" s="208"/>
      <c r="BU89" s="208"/>
      <c r="BV89" s="208"/>
      <c r="BW89" s="209"/>
      <c r="BX89" s="6"/>
      <c r="BY89" s="6"/>
      <c r="BZ89" s="6"/>
      <c r="CA89" s="6"/>
      <c r="CB89" s="6"/>
      <c r="CC89" s="6"/>
      <c r="CD89" s="6"/>
    </row>
    <row r="90" spans="12:82" ht="12" customHeight="1">
      <c r="L90" s="6"/>
      <c r="M90" s="6"/>
      <c r="N90" s="6"/>
      <c r="O90" s="329"/>
      <c r="P90" s="341"/>
      <c r="Q90" s="557">
        <f>IF($W$15="NO",0,($L37*$Q37)/1000000*$Q$67)</f>
        <v>0</v>
      </c>
      <c r="R90" s="558"/>
      <c r="S90" s="558"/>
      <c r="T90" s="558"/>
      <c r="U90" s="558"/>
      <c r="V90" s="559"/>
      <c r="W90" s="341" t="b">
        <f>IF($AE$67="3 CON FRONTALE",(($L37*2+$Q37)+($Q37*1.2+8))/1000*N37,IF(OR($AE$67="4 LATI CON FORI",$AE$67="4 SENZA FORI"),(($L37+$Q37)*2)/1000*N37,IF($AE$67="3 LATI",(($L37*2)+$Q37)/1000*N37)))</f>
        <v>0</v>
      </c>
      <c r="X90" s="563" t="s">
        <v>23</v>
      </c>
      <c r="Y90" s="353">
        <f>SUM(O37)</f>
        <v>0</v>
      </c>
      <c r="Z90" s="321"/>
      <c r="AA90" s="321"/>
      <c r="AB90" s="321"/>
      <c r="AC90" s="321"/>
      <c r="AD90" s="322"/>
      <c r="AE90" s="353">
        <f>IF(AM36&gt;0,SUM(AM36),0)</f>
        <v>0</v>
      </c>
      <c r="AF90" s="321"/>
      <c r="AG90" s="321"/>
      <c r="AH90" s="321"/>
      <c r="AI90" s="354">
        <f>$P$37</f>
        <v>0</v>
      </c>
      <c r="AJ90" s="355"/>
      <c r="AK90" s="353">
        <f>IF(AB36&gt;0,SUM(AB36),0)</f>
        <v>0</v>
      </c>
      <c r="AL90" s="321"/>
      <c r="AM90" s="321"/>
      <c r="AN90" s="321"/>
      <c r="AO90" s="354">
        <f>$Q$37</f>
        <v>0</v>
      </c>
      <c r="AP90" s="355"/>
      <c r="AQ90" s="353">
        <f>SUM(AJ37)</f>
        <v>0</v>
      </c>
      <c r="AR90" s="321"/>
      <c r="AS90" s="321"/>
      <c r="AT90" s="321"/>
      <c r="AU90" s="321"/>
      <c r="AV90" s="322"/>
      <c r="AW90" s="542">
        <f t="shared" ref="AW90" si="4">IF(BC90&gt;0,SUM(BC90/Y90),0)</f>
        <v>0</v>
      </c>
      <c r="AX90" s="546"/>
      <c r="AY90" s="546"/>
      <c r="AZ90" s="546"/>
      <c r="BA90" s="546"/>
      <c r="BB90" s="547"/>
      <c r="BC90" s="320">
        <f>IF($Y90&gt;=10,SUM($Q90+$W90+$AQ$68+$AQ$65)*$Y90,IF($Y90&lt;10,SUM(($Q90+$W90+$AQ$68)*1.2+$AQ$65)*$Y90,""))</f>
        <v>0</v>
      </c>
      <c r="BD90" s="550"/>
      <c r="BE90" s="550"/>
      <c r="BF90" s="550"/>
      <c r="BG90" s="550"/>
      <c r="BH90" s="551"/>
      <c r="BI90" s="6"/>
      <c r="BJ90" s="542">
        <f>SUM(BL90*2)</f>
        <v>0</v>
      </c>
      <c r="BK90" s="6"/>
      <c r="BL90" s="542">
        <f>IF(BC90&gt;0,SUM(BR90/Y90),0)</f>
        <v>0</v>
      </c>
      <c r="BM90" s="546"/>
      <c r="BN90" s="546"/>
      <c r="BO90" s="546"/>
      <c r="BP90" s="546"/>
      <c r="BQ90" s="547"/>
      <c r="BR90" s="320">
        <f>IF($Y90&gt;=10,SUM($Q90+$W90+$AQ$68+$AQ$65+Foglio1!$T$120)*$Y90,IF($Y90&lt;10,SUM(($Q90+$W90+$AQ$68)*1.2+$AQ$65+Foglio1!$T$120)*$Y90,""))</f>
        <v>0</v>
      </c>
      <c r="BS90" s="550"/>
      <c r="BT90" s="550"/>
      <c r="BU90" s="550"/>
      <c r="BV90" s="550"/>
      <c r="BW90" s="551"/>
      <c r="BX90" s="6"/>
      <c r="BY90" s="6"/>
      <c r="BZ90" s="6"/>
      <c r="CA90" s="6"/>
      <c r="CB90" s="6"/>
      <c r="CC90" s="6"/>
      <c r="CD90" s="6"/>
    </row>
    <row r="91" spans="12:82" ht="12" customHeight="1">
      <c r="L91" s="6"/>
      <c r="M91" s="6"/>
      <c r="N91" s="6"/>
      <c r="O91" s="329"/>
      <c r="P91" s="342"/>
      <c r="Q91" s="560"/>
      <c r="R91" s="561"/>
      <c r="S91" s="561"/>
      <c r="T91" s="561"/>
      <c r="U91" s="561"/>
      <c r="V91" s="562"/>
      <c r="W91" s="342"/>
      <c r="X91" s="563"/>
      <c r="Y91" s="323"/>
      <c r="Z91" s="324"/>
      <c r="AA91" s="324"/>
      <c r="AB91" s="324"/>
      <c r="AC91" s="324"/>
      <c r="AD91" s="325"/>
      <c r="AE91" s="323"/>
      <c r="AF91" s="324"/>
      <c r="AG91" s="324"/>
      <c r="AH91" s="324"/>
      <c r="AI91" s="23"/>
      <c r="AJ91" s="24"/>
      <c r="AK91" s="323"/>
      <c r="AL91" s="324"/>
      <c r="AM91" s="324"/>
      <c r="AN91" s="324"/>
      <c r="AO91" s="23"/>
      <c r="AP91" s="24"/>
      <c r="AQ91" s="323"/>
      <c r="AR91" s="324"/>
      <c r="AS91" s="324"/>
      <c r="AT91" s="324"/>
      <c r="AU91" s="324"/>
      <c r="AV91" s="325"/>
      <c r="AW91" s="543"/>
      <c r="AX91" s="548"/>
      <c r="AY91" s="548"/>
      <c r="AZ91" s="548"/>
      <c r="BA91" s="548"/>
      <c r="BB91" s="549"/>
      <c r="BC91" s="552"/>
      <c r="BD91" s="553"/>
      <c r="BE91" s="553"/>
      <c r="BF91" s="553"/>
      <c r="BG91" s="553"/>
      <c r="BH91" s="554"/>
      <c r="BI91" s="6"/>
      <c r="BJ91" s="543"/>
      <c r="BK91" s="6"/>
      <c r="BL91" s="543"/>
      <c r="BM91" s="548"/>
      <c r="BN91" s="548"/>
      <c r="BO91" s="548"/>
      <c r="BP91" s="548"/>
      <c r="BQ91" s="549"/>
      <c r="BR91" s="552"/>
      <c r="BS91" s="553"/>
      <c r="BT91" s="553"/>
      <c r="BU91" s="553"/>
      <c r="BV91" s="553"/>
      <c r="BW91" s="554"/>
      <c r="BX91" s="6"/>
      <c r="BY91" s="6"/>
      <c r="BZ91" s="6"/>
      <c r="CA91" s="6"/>
      <c r="CB91" s="6"/>
      <c r="CC91" s="6"/>
      <c r="CD91" s="6"/>
    </row>
    <row r="92" spans="12:82" ht="5.0999999999999996" customHeight="1">
      <c r="L92" s="6"/>
      <c r="M92" s="6"/>
      <c r="N92" s="6"/>
      <c r="O92" s="149"/>
      <c r="P92" s="153"/>
      <c r="Q92" s="216"/>
      <c r="R92" s="124"/>
      <c r="S92" s="124"/>
      <c r="T92" s="124"/>
      <c r="U92" s="124"/>
      <c r="V92" s="217"/>
      <c r="W92" s="153"/>
      <c r="X92" s="151"/>
      <c r="Y92" s="207"/>
      <c r="Z92" s="208"/>
      <c r="AA92" s="208"/>
      <c r="AB92" s="208"/>
      <c r="AC92" s="208"/>
      <c r="AD92" s="209"/>
      <c r="AE92" s="207"/>
      <c r="AF92" s="208"/>
      <c r="AG92" s="208"/>
      <c r="AH92" s="208"/>
      <c r="AI92" s="210"/>
      <c r="AJ92" s="211"/>
      <c r="AK92" s="207"/>
      <c r="AL92" s="208"/>
      <c r="AM92" s="208"/>
      <c r="AN92" s="208"/>
      <c r="AO92" s="210"/>
      <c r="AP92" s="211"/>
      <c r="AQ92" s="207"/>
      <c r="AR92" s="208"/>
      <c r="AS92" s="208"/>
      <c r="AT92" s="208"/>
      <c r="AU92" s="208"/>
      <c r="AV92" s="209"/>
      <c r="AW92" s="212"/>
      <c r="AX92" s="218"/>
      <c r="AY92" s="218"/>
      <c r="AZ92" s="218"/>
      <c r="BA92" s="218"/>
      <c r="BB92" s="219"/>
      <c r="BC92" s="207"/>
      <c r="BD92" s="208"/>
      <c r="BE92" s="208"/>
      <c r="BF92" s="208"/>
      <c r="BG92" s="208"/>
      <c r="BH92" s="209"/>
      <c r="BI92" s="6"/>
      <c r="BJ92" s="212"/>
      <c r="BK92" s="6"/>
      <c r="BL92" s="212"/>
      <c r="BM92" s="218"/>
      <c r="BN92" s="218"/>
      <c r="BO92" s="218"/>
      <c r="BP92" s="218"/>
      <c r="BQ92" s="219"/>
      <c r="BR92" s="207"/>
      <c r="BS92" s="208"/>
      <c r="BT92" s="208"/>
      <c r="BU92" s="208"/>
      <c r="BV92" s="208"/>
      <c r="BW92" s="209"/>
      <c r="BX92" s="6"/>
      <c r="BY92" s="6"/>
      <c r="BZ92" s="6"/>
      <c r="CA92" s="6"/>
      <c r="CB92" s="6"/>
      <c r="CC92" s="6"/>
      <c r="CD92" s="6"/>
    </row>
    <row r="93" spans="12:82" ht="5.0999999999999996" customHeight="1">
      <c r="L93" s="6"/>
      <c r="M93" s="6"/>
      <c r="N93" s="6"/>
      <c r="O93" s="149"/>
      <c r="P93" s="153"/>
      <c r="Q93" s="216"/>
      <c r="R93" s="124"/>
      <c r="S93" s="124"/>
      <c r="T93" s="124"/>
      <c r="U93" s="124"/>
      <c r="V93" s="217"/>
      <c r="W93" s="153"/>
      <c r="X93" s="151"/>
      <c r="Y93" s="207"/>
      <c r="Z93" s="208"/>
      <c r="AA93" s="208"/>
      <c r="AB93" s="208"/>
      <c r="AC93" s="208"/>
      <c r="AD93" s="209"/>
      <c r="AE93" s="207"/>
      <c r="AF93" s="208"/>
      <c r="AG93" s="208"/>
      <c r="AH93" s="208"/>
      <c r="AI93" s="210"/>
      <c r="AJ93" s="211"/>
      <c r="AK93" s="207"/>
      <c r="AL93" s="208"/>
      <c r="AM93" s="208"/>
      <c r="AN93" s="208"/>
      <c r="AO93" s="210"/>
      <c r="AP93" s="211"/>
      <c r="AQ93" s="207"/>
      <c r="AR93" s="208"/>
      <c r="AS93" s="208"/>
      <c r="AT93" s="208"/>
      <c r="AU93" s="208"/>
      <c r="AV93" s="209"/>
      <c r="AW93" s="212"/>
      <c r="AX93" s="218"/>
      <c r="AY93" s="218"/>
      <c r="AZ93" s="218"/>
      <c r="BA93" s="218"/>
      <c r="BB93" s="219"/>
      <c r="BC93" s="207"/>
      <c r="BD93" s="208"/>
      <c r="BE93" s="208"/>
      <c r="BF93" s="208"/>
      <c r="BG93" s="208"/>
      <c r="BH93" s="209"/>
      <c r="BI93" s="6"/>
      <c r="BJ93" s="212"/>
      <c r="BK93" s="6"/>
      <c r="BL93" s="212"/>
      <c r="BM93" s="218"/>
      <c r="BN93" s="218"/>
      <c r="BO93" s="218"/>
      <c r="BP93" s="218"/>
      <c r="BQ93" s="219"/>
      <c r="BR93" s="207"/>
      <c r="BS93" s="208"/>
      <c r="BT93" s="208"/>
      <c r="BU93" s="208"/>
      <c r="BV93" s="208"/>
      <c r="BW93" s="209"/>
      <c r="BX93" s="6"/>
      <c r="BY93" s="6"/>
      <c r="BZ93" s="6"/>
      <c r="CA93" s="6"/>
      <c r="CB93" s="6"/>
      <c r="CC93" s="6"/>
      <c r="CD93" s="6"/>
    </row>
    <row r="94" spans="12:82" ht="12" customHeight="1">
      <c r="L94" s="6"/>
      <c r="M94" s="6"/>
      <c r="N94" s="6"/>
      <c r="O94" s="329"/>
      <c r="P94" s="341"/>
      <c r="Q94" s="557">
        <f>IF($W$15="NO",0,($L41*$Q41)/1000000*$Q$67)</f>
        <v>0</v>
      </c>
      <c r="R94" s="558"/>
      <c r="S94" s="558"/>
      <c r="T94" s="558"/>
      <c r="U94" s="558"/>
      <c r="V94" s="559"/>
      <c r="W94" s="341" t="b">
        <f>IF($AE$67="3 CON FRONTALE",(($L41*2+$Q41)+($Q41*1.2+8))/1000*N41,IF(OR($AE$67="4 LATI CON FORI",$AE$67="4 SENZA FORI"),(($L41+$Q41)*2)/1000*N41,IF($AE$67="3 LATI",(($L41*2)+$Q41)/1000*N41)))</f>
        <v>0</v>
      </c>
      <c r="X94" s="563" t="s">
        <v>24</v>
      </c>
      <c r="Y94" s="353">
        <f>SUM(O41)</f>
        <v>0</v>
      </c>
      <c r="Z94" s="321"/>
      <c r="AA94" s="321"/>
      <c r="AB94" s="321"/>
      <c r="AC94" s="321"/>
      <c r="AD94" s="322"/>
      <c r="AE94" s="353">
        <f>IF(AM40&gt;0,SUM(AM40),0)</f>
        <v>0</v>
      </c>
      <c r="AF94" s="321"/>
      <c r="AG94" s="321"/>
      <c r="AH94" s="321"/>
      <c r="AI94" s="354">
        <f>$P$41</f>
        <v>0</v>
      </c>
      <c r="AJ94" s="355"/>
      <c r="AK94" s="353">
        <f>IF(AB40&gt;0,SUM(AB40),0)</f>
        <v>0</v>
      </c>
      <c r="AL94" s="321"/>
      <c r="AM94" s="321"/>
      <c r="AN94" s="321"/>
      <c r="AO94" s="354">
        <f>$Q$41</f>
        <v>0</v>
      </c>
      <c r="AP94" s="355"/>
      <c r="AQ94" s="353">
        <f>SUM(AJ41)</f>
        <v>0</v>
      </c>
      <c r="AR94" s="321"/>
      <c r="AS94" s="321"/>
      <c r="AT94" s="321"/>
      <c r="AU94" s="321"/>
      <c r="AV94" s="322"/>
      <c r="AW94" s="542">
        <f t="shared" ref="AW94" si="5">IF(BC94&gt;0,SUM(BC94/Y94),0)</f>
        <v>0</v>
      </c>
      <c r="AX94" s="546"/>
      <c r="AY94" s="546"/>
      <c r="AZ94" s="546"/>
      <c r="BA94" s="546"/>
      <c r="BB94" s="547"/>
      <c r="BC94" s="320">
        <f>IF($Y94&gt;=10,SUM($Q94+$W94+$AQ$68+$AQ$65)*$Y94,IF($Y94&lt;10,SUM(($Q94+$W94+$AQ$68)*1.2+$AQ$65)*$Y94,""))</f>
        <v>0</v>
      </c>
      <c r="BD94" s="550"/>
      <c r="BE94" s="550"/>
      <c r="BF94" s="550"/>
      <c r="BG94" s="550"/>
      <c r="BH94" s="551"/>
      <c r="BI94" s="6"/>
      <c r="BJ94" s="542">
        <f>SUM(BL94*2)</f>
        <v>0</v>
      </c>
      <c r="BK94" s="6"/>
      <c r="BL94" s="542">
        <f>IF(BC94&gt;0,SUM(BR94/Y94),0)</f>
        <v>0</v>
      </c>
      <c r="BM94" s="546"/>
      <c r="BN94" s="546"/>
      <c r="BO94" s="546"/>
      <c r="BP94" s="546"/>
      <c r="BQ94" s="547"/>
      <c r="BR94" s="320">
        <f>IF($Y94&gt;=10,SUM($Q94+$W94+$AQ$68+$AQ$65+Foglio1!$T$122)*$Y94,IF($Y94&lt;10,SUM(($Q94+$W94+$AQ$68)*1.2+$AQ$65+Foglio1!$T$122)*$Y94,""))</f>
        <v>0</v>
      </c>
      <c r="BS94" s="550"/>
      <c r="BT94" s="550"/>
      <c r="BU94" s="550"/>
      <c r="BV94" s="550"/>
      <c r="BW94" s="551"/>
      <c r="BX94" s="6"/>
      <c r="BY94" s="6"/>
      <c r="BZ94" s="6"/>
      <c r="CA94" s="6"/>
      <c r="CB94" s="6"/>
      <c r="CC94" s="6"/>
      <c r="CD94" s="6"/>
    </row>
    <row r="95" spans="12:82" ht="12" customHeight="1">
      <c r="L95" s="6"/>
      <c r="M95" s="6"/>
      <c r="N95" s="6"/>
      <c r="O95" s="329"/>
      <c r="P95" s="342"/>
      <c r="Q95" s="560"/>
      <c r="R95" s="561"/>
      <c r="S95" s="561"/>
      <c r="T95" s="561"/>
      <c r="U95" s="561"/>
      <c r="V95" s="562"/>
      <c r="W95" s="342"/>
      <c r="X95" s="563"/>
      <c r="Y95" s="323"/>
      <c r="Z95" s="324"/>
      <c r="AA95" s="324"/>
      <c r="AB95" s="324"/>
      <c r="AC95" s="324"/>
      <c r="AD95" s="325"/>
      <c r="AE95" s="323"/>
      <c r="AF95" s="324"/>
      <c r="AG95" s="324"/>
      <c r="AH95" s="324"/>
      <c r="AI95" s="23"/>
      <c r="AJ95" s="24"/>
      <c r="AK95" s="323"/>
      <c r="AL95" s="324"/>
      <c r="AM95" s="324"/>
      <c r="AN95" s="324"/>
      <c r="AO95" s="23"/>
      <c r="AP95" s="24"/>
      <c r="AQ95" s="323"/>
      <c r="AR95" s="324"/>
      <c r="AS95" s="324"/>
      <c r="AT95" s="324"/>
      <c r="AU95" s="324"/>
      <c r="AV95" s="325"/>
      <c r="AW95" s="543"/>
      <c r="AX95" s="548"/>
      <c r="AY95" s="548"/>
      <c r="AZ95" s="548"/>
      <c r="BA95" s="548"/>
      <c r="BB95" s="549"/>
      <c r="BC95" s="552"/>
      <c r="BD95" s="553"/>
      <c r="BE95" s="553"/>
      <c r="BF95" s="553"/>
      <c r="BG95" s="553"/>
      <c r="BH95" s="554"/>
      <c r="BI95" s="6"/>
      <c r="BJ95" s="543"/>
      <c r="BK95" s="6"/>
      <c r="BL95" s="543"/>
      <c r="BM95" s="548"/>
      <c r="BN95" s="548"/>
      <c r="BO95" s="548"/>
      <c r="BP95" s="548"/>
      <c r="BQ95" s="549"/>
      <c r="BR95" s="552"/>
      <c r="BS95" s="553"/>
      <c r="BT95" s="553"/>
      <c r="BU95" s="553"/>
      <c r="BV95" s="553"/>
      <c r="BW95" s="554"/>
      <c r="BX95" s="6"/>
      <c r="BY95" s="6"/>
      <c r="BZ95" s="6"/>
      <c r="CA95" s="6"/>
      <c r="CB95" s="6"/>
      <c r="CC95" s="6"/>
      <c r="CD95" s="6"/>
    </row>
    <row r="96" spans="12:82" ht="5.0999999999999996" customHeight="1">
      <c r="L96" s="6"/>
      <c r="M96" s="6"/>
      <c r="N96" s="6"/>
      <c r="O96" s="149"/>
      <c r="P96" s="153"/>
      <c r="Q96" s="216"/>
      <c r="R96" s="124"/>
      <c r="S96" s="124"/>
      <c r="T96" s="124"/>
      <c r="U96" s="124"/>
      <c r="V96" s="217"/>
      <c r="W96" s="153"/>
      <c r="X96" s="151"/>
      <c r="Y96" s="207"/>
      <c r="Z96" s="208"/>
      <c r="AA96" s="208"/>
      <c r="AB96" s="208"/>
      <c r="AC96" s="208"/>
      <c r="AD96" s="209"/>
      <c r="AE96" s="207"/>
      <c r="AF96" s="208"/>
      <c r="AG96" s="208"/>
      <c r="AH96" s="208"/>
      <c r="AI96" s="210"/>
      <c r="AJ96" s="211"/>
      <c r="AK96" s="207"/>
      <c r="AL96" s="208"/>
      <c r="AM96" s="208"/>
      <c r="AN96" s="208"/>
      <c r="AO96" s="210"/>
      <c r="AP96" s="211"/>
      <c r="AQ96" s="207"/>
      <c r="AR96" s="208"/>
      <c r="AS96" s="208"/>
      <c r="AT96" s="208"/>
      <c r="AU96" s="208"/>
      <c r="AV96" s="209"/>
      <c r="AW96" s="212"/>
      <c r="AX96" s="218"/>
      <c r="AY96" s="218"/>
      <c r="AZ96" s="218"/>
      <c r="BA96" s="218"/>
      <c r="BB96" s="219"/>
      <c r="BC96" s="207"/>
      <c r="BD96" s="208"/>
      <c r="BE96" s="208"/>
      <c r="BF96" s="208"/>
      <c r="BG96" s="208"/>
      <c r="BH96" s="209"/>
      <c r="BI96" s="6"/>
      <c r="BJ96" s="212"/>
      <c r="BK96" s="6"/>
      <c r="BL96" s="212"/>
      <c r="BM96" s="218"/>
      <c r="BN96" s="218"/>
      <c r="BO96" s="218"/>
      <c r="BP96" s="218"/>
      <c r="BQ96" s="219"/>
      <c r="BR96" s="207"/>
      <c r="BS96" s="208"/>
      <c r="BT96" s="208"/>
      <c r="BU96" s="208"/>
      <c r="BV96" s="208"/>
      <c r="BW96" s="209"/>
      <c r="BX96" s="6"/>
      <c r="BY96" s="6"/>
      <c r="BZ96" s="6"/>
      <c r="CA96" s="6"/>
      <c r="CB96" s="6"/>
      <c r="CC96" s="6"/>
      <c r="CD96" s="6"/>
    </row>
    <row r="97" spans="12:82" ht="5.0999999999999996" customHeight="1">
      <c r="L97" s="6"/>
      <c r="M97" s="6"/>
      <c r="N97" s="6"/>
      <c r="O97" s="149"/>
      <c r="P97" s="153"/>
      <c r="Q97" s="216"/>
      <c r="R97" s="124"/>
      <c r="S97" s="124"/>
      <c r="T97" s="124"/>
      <c r="U97" s="124"/>
      <c r="V97" s="217"/>
      <c r="W97" s="153"/>
      <c r="X97" s="151"/>
      <c r="Y97" s="207"/>
      <c r="Z97" s="208"/>
      <c r="AA97" s="208"/>
      <c r="AB97" s="208"/>
      <c r="AC97" s="208"/>
      <c r="AD97" s="209"/>
      <c r="AE97" s="207"/>
      <c r="AF97" s="208"/>
      <c r="AG97" s="208"/>
      <c r="AH97" s="208"/>
      <c r="AI97" s="210"/>
      <c r="AJ97" s="211"/>
      <c r="AK97" s="207"/>
      <c r="AL97" s="208"/>
      <c r="AM97" s="208"/>
      <c r="AN97" s="208"/>
      <c r="AO97" s="210"/>
      <c r="AP97" s="211"/>
      <c r="AQ97" s="207"/>
      <c r="AR97" s="208"/>
      <c r="AS97" s="208"/>
      <c r="AT97" s="208"/>
      <c r="AU97" s="208"/>
      <c r="AV97" s="209"/>
      <c r="AW97" s="212"/>
      <c r="AX97" s="218"/>
      <c r="AY97" s="218"/>
      <c r="AZ97" s="218"/>
      <c r="BA97" s="218"/>
      <c r="BB97" s="219"/>
      <c r="BC97" s="207"/>
      <c r="BD97" s="208"/>
      <c r="BE97" s="208"/>
      <c r="BF97" s="208"/>
      <c r="BG97" s="208"/>
      <c r="BH97" s="209"/>
      <c r="BI97" s="6"/>
      <c r="BJ97" s="212"/>
      <c r="BK97" s="6"/>
      <c r="BL97" s="212"/>
      <c r="BM97" s="218"/>
      <c r="BN97" s="218"/>
      <c r="BO97" s="218"/>
      <c r="BP97" s="218"/>
      <c r="BQ97" s="219"/>
      <c r="BR97" s="207"/>
      <c r="BS97" s="208"/>
      <c r="BT97" s="208"/>
      <c r="BU97" s="208"/>
      <c r="BV97" s="208"/>
      <c r="BW97" s="209"/>
      <c r="BX97" s="6"/>
      <c r="BY97" s="6"/>
      <c r="BZ97" s="6"/>
      <c r="CA97" s="6"/>
      <c r="CB97" s="6"/>
      <c r="CC97" s="6"/>
      <c r="CD97" s="6"/>
    </row>
    <row r="98" spans="12:82" ht="12" customHeight="1">
      <c r="L98" s="6"/>
      <c r="M98" s="6"/>
      <c r="N98" s="6"/>
      <c r="O98" s="329"/>
      <c r="P98" s="341"/>
      <c r="Q98" s="557">
        <f>IF($W$15="NO",0,($L45*$Q45)/1000000*$Q$67)</f>
        <v>0</v>
      </c>
      <c r="R98" s="558"/>
      <c r="S98" s="558"/>
      <c r="T98" s="558"/>
      <c r="U98" s="558"/>
      <c r="V98" s="559"/>
      <c r="W98" s="341" t="b">
        <f>IF($AE$67="3 CON FRONTALE",(($L45*2+$Q45)+($Q45*1.2+8))/1000*N45,IF(OR($AE$67="4 LATI CON FORI",$AE$67="4 SENZA FORI"),(($L45+$Q45)*2)/1000*N45,IF($AE$67="3 LATI",(($L45*2)+$Q45)/1000*N45)))</f>
        <v>0</v>
      </c>
      <c r="X98" s="563" t="s">
        <v>25</v>
      </c>
      <c r="Y98" s="353">
        <f>SUM(O45)</f>
        <v>0</v>
      </c>
      <c r="Z98" s="321"/>
      <c r="AA98" s="321"/>
      <c r="AB98" s="321"/>
      <c r="AC98" s="321"/>
      <c r="AD98" s="322"/>
      <c r="AE98" s="353">
        <f>IF(AM44&gt;0,SUM(AM44),0)</f>
        <v>0</v>
      </c>
      <c r="AF98" s="321"/>
      <c r="AG98" s="321"/>
      <c r="AH98" s="321"/>
      <c r="AI98" s="354">
        <f>$P$45</f>
        <v>0</v>
      </c>
      <c r="AJ98" s="355"/>
      <c r="AK98" s="353">
        <f>IF(AB44&gt;0,SUM(AB44),0)</f>
        <v>0</v>
      </c>
      <c r="AL98" s="321"/>
      <c r="AM98" s="321"/>
      <c r="AN98" s="321"/>
      <c r="AO98" s="354">
        <f>$Q$45</f>
        <v>0</v>
      </c>
      <c r="AP98" s="355"/>
      <c r="AQ98" s="353">
        <f>SUM(AJ45)</f>
        <v>0</v>
      </c>
      <c r="AR98" s="321"/>
      <c r="AS98" s="321"/>
      <c r="AT98" s="321"/>
      <c r="AU98" s="321"/>
      <c r="AV98" s="322"/>
      <c r="AW98" s="542">
        <f>IF(BC98&gt;0,SUM(BC98/Y98),0)</f>
        <v>0</v>
      </c>
      <c r="AX98" s="546"/>
      <c r="AY98" s="546"/>
      <c r="AZ98" s="546"/>
      <c r="BA98" s="546"/>
      <c r="BB98" s="547"/>
      <c r="BC98" s="320">
        <f>IF($Y98&gt;=10,SUM($Q98+$W98+$AQ$68+$AQ$65)*$Y98,IF($Y98&lt;10,SUM(($Q98+$W98+$AQ$68)*1.2+$AQ$65)*$Y98,""))</f>
        <v>0</v>
      </c>
      <c r="BD98" s="550"/>
      <c r="BE98" s="550"/>
      <c r="BF98" s="550"/>
      <c r="BG98" s="550"/>
      <c r="BH98" s="551"/>
      <c r="BI98" s="6"/>
      <c r="BJ98" s="542">
        <f>SUM(BL98*2)</f>
        <v>0</v>
      </c>
      <c r="BK98" s="6"/>
      <c r="BL98" s="542">
        <f>IF(BC98&gt;0,SUM(BR98/Y98),0)</f>
        <v>0</v>
      </c>
      <c r="BM98" s="546"/>
      <c r="BN98" s="546"/>
      <c r="BO98" s="546"/>
      <c r="BP98" s="546"/>
      <c r="BQ98" s="547"/>
      <c r="BR98" s="320">
        <f>IF($Y98&gt;=10,SUM($Q98+$W98+$AQ$68+$AQ$65+Foglio1!$T$124)*$Y98,IF($Y98&lt;10,SUM(($Q98+$W98+$AQ$68)*1.2+$AQ$65+Foglio1!$T$124)*$Y98,""))</f>
        <v>0</v>
      </c>
      <c r="BS98" s="550"/>
      <c r="BT98" s="550"/>
      <c r="BU98" s="550"/>
      <c r="BV98" s="550"/>
      <c r="BW98" s="551"/>
      <c r="BX98" s="6"/>
      <c r="BY98" s="6"/>
      <c r="BZ98" s="6"/>
      <c r="CA98" s="6"/>
      <c r="CB98" s="6"/>
      <c r="CC98" s="6"/>
      <c r="CD98" s="6"/>
    </row>
    <row r="99" spans="12:82" ht="12" customHeight="1">
      <c r="L99" s="6"/>
      <c r="M99" s="6"/>
      <c r="N99" s="6"/>
      <c r="O99" s="329"/>
      <c r="P99" s="342"/>
      <c r="Q99" s="560"/>
      <c r="R99" s="561"/>
      <c r="S99" s="561"/>
      <c r="T99" s="561"/>
      <c r="U99" s="561"/>
      <c r="V99" s="562"/>
      <c r="W99" s="342"/>
      <c r="X99" s="563"/>
      <c r="Y99" s="323"/>
      <c r="Z99" s="324"/>
      <c r="AA99" s="324"/>
      <c r="AB99" s="324"/>
      <c r="AC99" s="324"/>
      <c r="AD99" s="325"/>
      <c r="AE99" s="323"/>
      <c r="AF99" s="324"/>
      <c r="AG99" s="324"/>
      <c r="AH99" s="324"/>
      <c r="AI99" s="23"/>
      <c r="AJ99" s="24"/>
      <c r="AK99" s="323"/>
      <c r="AL99" s="324"/>
      <c r="AM99" s="324"/>
      <c r="AN99" s="324"/>
      <c r="AO99" s="23"/>
      <c r="AP99" s="24"/>
      <c r="AQ99" s="323"/>
      <c r="AR99" s="324"/>
      <c r="AS99" s="324"/>
      <c r="AT99" s="324"/>
      <c r="AU99" s="324"/>
      <c r="AV99" s="325"/>
      <c r="AW99" s="543"/>
      <c r="AX99" s="548"/>
      <c r="AY99" s="548"/>
      <c r="AZ99" s="548"/>
      <c r="BA99" s="548"/>
      <c r="BB99" s="549"/>
      <c r="BC99" s="552"/>
      <c r="BD99" s="553"/>
      <c r="BE99" s="553"/>
      <c r="BF99" s="553"/>
      <c r="BG99" s="553"/>
      <c r="BH99" s="554"/>
      <c r="BI99" s="6"/>
      <c r="BJ99" s="543"/>
      <c r="BK99" s="6"/>
      <c r="BL99" s="543"/>
      <c r="BM99" s="548"/>
      <c r="BN99" s="548"/>
      <c r="BO99" s="548"/>
      <c r="BP99" s="548"/>
      <c r="BQ99" s="549"/>
      <c r="BR99" s="552"/>
      <c r="BS99" s="553"/>
      <c r="BT99" s="553"/>
      <c r="BU99" s="553"/>
      <c r="BV99" s="553"/>
      <c r="BW99" s="554"/>
      <c r="BX99" s="6"/>
      <c r="BY99" s="6"/>
      <c r="BZ99" s="6"/>
      <c r="CA99" s="6"/>
      <c r="CB99" s="6"/>
      <c r="CC99" s="6"/>
      <c r="CD99" s="6"/>
    </row>
    <row r="100" spans="12:82" ht="5.0999999999999996" customHeight="1">
      <c r="L100" s="6"/>
      <c r="M100" s="6"/>
      <c r="N100" s="6"/>
      <c r="O100" s="149"/>
      <c r="P100" s="153"/>
      <c r="Q100" s="216"/>
      <c r="R100" s="124"/>
      <c r="S100" s="124"/>
      <c r="T100" s="124"/>
      <c r="U100" s="124"/>
      <c r="V100" s="217"/>
      <c r="W100" s="153"/>
      <c r="X100" s="151"/>
      <c r="Y100" s="207"/>
      <c r="Z100" s="208"/>
      <c r="AA100" s="208"/>
      <c r="AB100" s="208"/>
      <c r="AC100" s="208"/>
      <c r="AD100" s="209"/>
      <c r="AE100" s="207"/>
      <c r="AF100" s="208"/>
      <c r="AG100" s="208"/>
      <c r="AH100" s="208"/>
      <c r="AI100" s="210"/>
      <c r="AJ100" s="211"/>
      <c r="AK100" s="207"/>
      <c r="AL100" s="208"/>
      <c r="AM100" s="208"/>
      <c r="AN100" s="208"/>
      <c r="AO100" s="210"/>
      <c r="AP100" s="211"/>
      <c r="AQ100" s="207"/>
      <c r="AR100" s="208"/>
      <c r="AS100" s="208"/>
      <c r="AT100" s="208"/>
      <c r="AU100" s="208"/>
      <c r="AV100" s="209"/>
      <c r="AW100" s="212"/>
      <c r="AX100" s="218"/>
      <c r="AY100" s="218"/>
      <c r="AZ100" s="218"/>
      <c r="BA100" s="218"/>
      <c r="BB100" s="219"/>
      <c r="BC100" s="207"/>
      <c r="BD100" s="208"/>
      <c r="BE100" s="208"/>
      <c r="BF100" s="208"/>
      <c r="BG100" s="208"/>
      <c r="BH100" s="209"/>
      <c r="BI100" s="6"/>
      <c r="BJ100" s="212"/>
      <c r="BK100" s="6"/>
      <c r="BL100" s="212"/>
      <c r="BM100" s="218"/>
      <c r="BN100" s="218"/>
      <c r="BO100" s="218"/>
      <c r="BP100" s="218"/>
      <c r="BQ100" s="219"/>
      <c r="BR100" s="207"/>
      <c r="BS100" s="208"/>
      <c r="BT100" s="208"/>
      <c r="BU100" s="208"/>
      <c r="BV100" s="208"/>
      <c r="BW100" s="209"/>
      <c r="BX100" s="6"/>
      <c r="BY100" s="6"/>
      <c r="BZ100" s="6"/>
      <c r="CA100" s="6"/>
      <c r="CB100" s="6"/>
      <c r="CC100" s="6"/>
      <c r="CD100" s="6"/>
    </row>
    <row r="101" spans="12:82" ht="5.0999999999999996" customHeight="1">
      <c r="L101" s="6"/>
      <c r="M101" s="6"/>
      <c r="N101" s="6"/>
      <c r="O101" s="149"/>
      <c r="P101" s="153"/>
      <c r="Q101" s="216"/>
      <c r="R101" s="124"/>
      <c r="S101" s="124"/>
      <c r="T101" s="124"/>
      <c r="U101" s="124"/>
      <c r="V101" s="217"/>
      <c r="W101" s="153"/>
      <c r="X101" s="151"/>
      <c r="Y101" s="207"/>
      <c r="Z101" s="208"/>
      <c r="AA101" s="208"/>
      <c r="AB101" s="208"/>
      <c r="AC101" s="208"/>
      <c r="AD101" s="209"/>
      <c r="AE101" s="207"/>
      <c r="AF101" s="208"/>
      <c r="AG101" s="208"/>
      <c r="AH101" s="208"/>
      <c r="AI101" s="210"/>
      <c r="AJ101" s="211"/>
      <c r="AK101" s="207"/>
      <c r="AL101" s="208"/>
      <c r="AM101" s="208"/>
      <c r="AN101" s="208"/>
      <c r="AO101" s="210"/>
      <c r="AP101" s="211"/>
      <c r="AQ101" s="207"/>
      <c r="AR101" s="208"/>
      <c r="AS101" s="208"/>
      <c r="AT101" s="208"/>
      <c r="AU101" s="208"/>
      <c r="AV101" s="209"/>
      <c r="AW101" s="212"/>
      <c r="AX101" s="218"/>
      <c r="AY101" s="218"/>
      <c r="AZ101" s="218"/>
      <c r="BA101" s="218"/>
      <c r="BB101" s="219"/>
      <c r="BC101" s="207"/>
      <c r="BD101" s="208"/>
      <c r="BE101" s="208"/>
      <c r="BF101" s="208"/>
      <c r="BG101" s="208"/>
      <c r="BH101" s="209"/>
      <c r="BI101" s="6"/>
      <c r="BJ101" s="212"/>
      <c r="BK101" s="6"/>
      <c r="BL101" s="212"/>
      <c r="BM101" s="218"/>
      <c r="BN101" s="218"/>
      <c r="BO101" s="218"/>
      <c r="BP101" s="218"/>
      <c r="BQ101" s="219"/>
      <c r="BR101" s="207"/>
      <c r="BS101" s="208"/>
      <c r="BT101" s="208"/>
      <c r="BU101" s="208"/>
      <c r="BV101" s="208"/>
      <c r="BW101" s="209"/>
      <c r="BX101" s="6"/>
      <c r="BY101" s="6"/>
      <c r="BZ101" s="6"/>
      <c r="CA101" s="6"/>
      <c r="CB101" s="6"/>
      <c r="CC101" s="6"/>
      <c r="CD101" s="6"/>
    </row>
    <row r="102" spans="12:82" ht="12" customHeight="1">
      <c r="L102" s="6"/>
      <c r="M102" s="6"/>
      <c r="N102" s="6"/>
      <c r="O102" s="329"/>
      <c r="P102" s="341"/>
      <c r="Q102" s="557">
        <f>IF($W$15="NO",0,($L49*$Q49)/1000000*$Q$67)</f>
        <v>0</v>
      </c>
      <c r="R102" s="558"/>
      <c r="S102" s="558"/>
      <c r="T102" s="558"/>
      <c r="U102" s="558"/>
      <c r="V102" s="559"/>
      <c r="W102" s="341" t="b">
        <f>IF($AE$67="3 CON FRONTALE",(($L49*2+$Q49)+($Q49*1.2+8))/1000*N49,IF(OR($AE$67="4 LATI CON FORI",$AE$67="4 SENZA FORI"),(($L49+$Q49)*2)/1000*N49,IF($AE$67="3 LATI",(($L49*2)+$Q49)/1000*N49)))</f>
        <v>0</v>
      </c>
      <c r="X102" s="563" t="s">
        <v>26</v>
      </c>
      <c r="Y102" s="353">
        <f>SUM(O49)</f>
        <v>0</v>
      </c>
      <c r="Z102" s="321"/>
      <c r="AA102" s="321"/>
      <c r="AB102" s="321"/>
      <c r="AC102" s="321"/>
      <c r="AD102" s="322"/>
      <c r="AE102" s="353">
        <f>IF(AM48&gt;0,SUM(AM48),0)</f>
        <v>0</v>
      </c>
      <c r="AF102" s="321"/>
      <c r="AG102" s="321"/>
      <c r="AH102" s="321"/>
      <c r="AI102" s="354">
        <f>$P$49</f>
        <v>0</v>
      </c>
      <c r="AJ102" s="355"/>
      <c r="AK102" s="353">
        <f>IF(AB48&gt;0,SUM(AB48),0)</f>
        <v>0</v>
      </c>
      <c r="AL102" s="321"/>
      <c r="AM102" s="321"/>
      <c r="AN102" s="321"/>
      <c r="AO102" s="354">
        <f>$Q$49</f>
        <v>0</v>
      </c>
      <c r="AP102" s="355"/>
      <c r="AQ102" s="353">
        <f>SUM(AJ49)</f>
        <v>0</v>
      </c>
      <c r="AR102" s="321"/>
      <c r="AS102" s="321"/>
      <c r="AT102" s="321"/>
      <c r="AU102" s="321"/>
      <c r="AV102" s="322"/>
      <c r="AW102" s="542">
        <f t="shared" ref="AW102" si="6">IF(BC102&gt;0,SUM(BC102/Y102),0)</f>
        <v>0</v>
      </c>
      <c r="AX102" s="546"/>
      <c r="AY102" s="546"/>
      <c r="AZ102" s="546"/>
      <c r="BA102" s="546"/>
      <c r="BB102" s="547"/>
      <c r="BC102" s="320">
        <f>IF($Y102&gt;=10,SUM($Q102+$W102+$AQ$68+$AQ$65)*$Y102,IF($Y102&lt;10,SUM(($Q102+$W102+$AQ$68)*1.2+$AQ$65)*$Y102,""))</f>
        <v>0</v>
      </c>
      <c r="BD102" s="550"/>
      <c r="BE102" s="550"/>
      <c r="BF102" s="550"/>
      <c r="BG102" s="550"/>
      <c r="BH102" s="551"/>
      <c r="BI102" s="6"/>
      <c r="BJ102" s="542">
        <f>SUM(BL102*2)</f>
        <v>0</v>
      </c>
      <c r="BK102" s="6"/>
      <c r="BL102" s="542">
        <f>IF(BC102&gt;0,SUM(BR102/Y102),0)</f>
        <v>0</v>
      </c>
      <c r="BM102" s="546"/>
      <c r="BN102" s="546"/>
      <c r="BO102" s="546"/>
      <c r="BP102" s="546"/>
      <c r="BQ102" s="547"/>
      <c r="BR102" s="320">
        <f>IF($Y102&gt;=10,SUM($Q102+$W102+$AQ$68+$AQ$65+Foglio1!$T$126)*$Y102,IF($Y102&lt;10,SUM(($Q102+$W102+$AQ$68)*1.2+$AQ$65+Foglio1!$T$126)*$Y102,""))</f>
        <v>0</v>
      </c>
      <c r="BS102" s="550"/>
      <c r="BT102" s="550"/>
      <c r="BU102" s="550"/>
      <c r="BV102" s="550"/>
      <c r="BW102" s="551"/>
      <c r="BX102" s="6"/>
      <c r="BY102" s="6"/>
      <c r="BZ102" s="6"/>
      <c r="CA102" s="6"/>
      <c r="CB102" s="6"/>
      <c r="CC102" s="6"/>
      <c r="CD102" s="6"/>
    </row>
    <row r="103" spans="12:82" ht="12" customHeight="1">
      <c r="L103" s="6"/>
      <c r="M103" s="6"/>
      <c r="N103" s="6"/>
      <c r="O103" s="329"/>
      <c r="P103" s="342"/>
      <c r="Q103" s="560"/>
      <c r="R103" s="561"/>
      <c r="S103" s="561"/>
      <c r="T103" s="561"/>
      <c r="U103" s="561"/>
      <c r="V103" s="562"/>
      <c r="W103" s="342"/>
      <c r="X103" s="563"/>
      <c r="Y103" s="323"/>
      <c r="Z103" s="324"/>
      <c r="AA103" s="324"/>
      <c r="AB103" s="324"/>
      <c r="AC103" s="324"/>
      <c r="AD103" s="325"/>
      <c r="AE103" s="323"/>
      <c r="AF103" s="324"/>
      <c r="AG103" s="324"/>
      <c r="AH103" s="324"/>
      <c r="AI103" s="23"/>
      <c r="AJ103" s="24"/>
      <c r="AK103" s="323"/>
      <c r="AL103" s="324"/>
      <c r="AM103" s="324"/>
      <c r="AN103" s="324"/>
      <c r="AO103" s="23"/>
      <c r="AP103" s="24"/>
      <c r="AQ103" s="323"/>
      <c r="AR103" s="324"/>
      <c r="AS103" s="324"/>
      <c r="AT103" s="324"/>
      <c r="AU103" s="324"/>
      <c r="AV103" s="325"/>
      <c r="AW103" s="543"/>
      <c r="AX103" s="548"/>
      <c r="AY103" s="548"/>
      <c r="AZ103" s="548"/>
      <c r="BA103" s="548"/>
      <c r="BB103" s="549"/>
      <c r="BC103" s="552"/>
      <c r="BD103" s="553"/>
      <c r="BE103" s="553"/>
      <c r="BF103" s="553"/>
      <c r="BG103" s="553"/>
      <c r="BH103" s="554"/>
      <c r="BI103" s="6"/>
      <c r="BJ103" s="543"/>
      <c r="BK103" s="6"/>
      <c r="BL103" s="543"/>
      <c r="BM103" s="548"/>
      <c r="BN103" s="548"/>
      <c r="BO103" s="548"/>
      <c r="BP103" s="548"/>
      <c r="BQ103" s="549"/>
      <c r="BR103" s="552"/>
      <c r="BS103" s="553"/>
      <c r="BT103" s="553"/>
      <c r="BU103" s="553"/>
      <c r="BV103" s="553"/>
      <c r="BW103" s="554"/>
      <c r="BX103" s="6"/>
      <c r="BY103" s="6"/>
      <c r="BZ103" s="6"/>
      <c r="CA103" s="6"/>
      <c r="CB103" s="6"/>
      <c r="CC103" s="6"/>
      <c r="CD103" s="6"/>
    </row>
    <row r="104" spans="12:82" ht="5.0999999999999996" customHeight="1">
      <c r="L104" s="6"/>
      <c r="M104" s="6"/>
      <c r="N104" s="6"/>
      <c r="O104" s="149"/>
      <c r="P104" s="153"/>
      <c r="Q104" s="216"/>
      <c r="R104" s="124"/>
      <c r="S104" s="124"/>
      <c r="T104" s="124"/>
      <c r="U104" s="124"/>
      <c r="V104" s="217"/>
      <c r="W104" s="153"/>
      <c r="X104" s="151"/>
      <c r="Y104" s="207"/>
      <c r="Z104" s="208"/>
      <c r="AA104" s="208"/>
      <c r="AB104" s="208"/>
      <c r="AC104" s="208"/>
      <c r="AD104" s="209"/>
      <c r="AE104" s="207"/>
      <c r="AF104" s="208"/>
      <c r="AG104" s="208"/>
      <c r="AH104" s="208"/>
      <c r="AI104" s="210"/>
      <c r="AJ104" s="211"/>
      <c r="AK104" s="207"/>
      <c r="AL104" s="208"/>
      <c r="AM104" s="208"/>
      <c r="AN104" s="208"/>
      <c r="AO104" s="210"/>
      <c r="AP104" s="211"/>
      <c r="AQ104" s="207"/>
      <c r="AR104" s="208"/>
      <c r="AS104" s="208"/>
      <c r="AT104" s="208"/>
      <c r="AU104" s="208"/>
      <c r="AV104" s="209"/>
      <c r="AW104" s="212"/>
      <c r="AX104" s="218"/>
      <c r="AY104" s="218"/>
      <c r="AZ104" s="218"/>
      <c r="BA104" s="218"/>
      <c r="BB104" s="219"/>
      <c r="BC104" s="207"/>
      <c r="BD104" s="208"/>
      <c r="BE104" s="208"/>
      <c r="BF104" s="208"/>
      <c r="BG104" s="208"/>
      <c r="BH104" s="209"/>
      <c r="BI104" s="6"/>
      <c r="BJ104" s="212"/>
      <c r="BK104" s="6"/>
      <c r="BL104" s="212"/>
      <c r="BM104" s="218"/>
      <c r="BN104" s="218"/>
      <c r="BO104" s="218"/>
      <c r="BP104" s="218"/>
      <c r="BQ104" s="219"/>
      <c r="BR104" s="207"/>
      <c r="BS104" s="208"/>
      <c r="BT104" s="208"/>
      <c r="BU104" s="208"/>
      <c r="BV104" s="208"/>
      <c r="BW104" s="209"/>
      <c r="BX104" s="6"/>
      <c r="BY104" s="6"/>
      <c r="BZ104" s="6"/>
      <c r="CA104" s="6"/>
      <c r="CB104" s="6"/>
      <c r="CC104" s="6"/>
      <c r="CD104" s="6"/>
    </row>
    <row r="105" spans="12:82" ht="5.0999999999999996" customHeight="1">
      <c r="L105" s="6"/>
      <c r="M105" s="6"/>
      <c r="N105" s="6"/>
      <c r="O105" s="149"/>
      <c r="P105" s="153"/>
      <c r="Q105" s="216"/>
      <c r="R105" s="124"/>
      <c r="S105" s="124"/>
      <c r="T105" s="124"/>
      <c r="U105" s="124"/>
      <c r="V105" s="217"/>
      <c r="W105" s="153"/>
      <c r="X105" s="151"/>
      <c r="Y105" s="207"/>
      <c r="Z105" s="208"/>
      <c r="AA105" s="208"/>
      <c r="AB105" s="208"/>
      <c r="AC105" s="208"/>
      <c r="AD105" s="209"/>
      <c r="AE105" s="207"/>
      <c r="AF105" s="208"/>
      <c r="AG105" s="208"/>
      <c r="AH105" s="208"/>
      <c r="AI105" s="210"/>
      <c r="AJ105" s="211"/>
      <c r="AK105" s="207"/>
      <c r="AL105" s="208"/>
      <c r="AM105" s="208"/>
      <c r="AN105" s="208"/>
      <c r="AO105" s="210"/>
      <c r="AP105" s="211"/>
      <c r="AQ105" s="207"/>
      <c r="AR105" s="208"/>
      <c r="AS105" s="208"/>
      <c r="AT105" s="208"/>
      <c r="AU105" s="208"/>
      <c r="AV105" s="209"/>
      <c r="AW105" s="212"/>
      <c r="AX105" s="218"/>
      <c r="AY105" s="218"/>
      <c r="AZ105" s="218"/>
      <c r="BA105" s="218"/>
      <c r="BB105" s="219"/>
      <c r="BC105" s="207"/>
      <c r="BD105" s="208"/>
      <c r="BE105" s="208"/>
      <c r="BF105" s="208"/>
      <c r="BG105" s="208"/>
      <c r="BH105" s="209"/>
      <c r="BI105" s="6"/>
      <c r="BJ105" s="212"/>
      <c r="BK105" s="6"/>
      <c r="BL105" s="212"/>
      <c r="BM105" s="218"/>
      <c r="BN105" s="218"/>
      <c r="BO105" s="218"/>
      <c r="BP105" s="218"/>
      <c r="BQ105" s="219"/>
      <c r="BR105" s="207"/>
      <c r="BS105" s="208"/>
      <c r="BT105" s="208"/>
      <c r="BU105" s="208"/>
      <c r="BV105" s="208"/>
      <c r="BW105" s="209"/>
      <c r="BX105" s="6"/>
      <c r="BY105" s="6"/>
      <c r="BZ105" s="6"/>
      <c r="CA105" s="6"/>
      <c r="CB105" s="6"/>
      <c r="CC105" s="6"/>
      <c r="CD105" s="6"/>
    </row>
    <row r="106" spans="12:82" ht="12" customHeight="1">
      <c r="L106" s="6"/>
      <c r="M106" s="6"/>
      <c r="N106" s="6"/>
      <c r="O106" s="329"/>
      <c r="P106" s="341"/>
      <c r="Q106" s="557">
        <f>IF($W$15="NO",0,($L53*$Q53)/1000000*$Q$67)</f>
        <v>0</v>
      </c>
      <c r="R106" s="558"/>
      <c r="S106" s="558"/>
      <c r="T106" s="558"/>
      <c r="U106" s="558"/>
      <c r="V106" s="559"/>
      <c r="W106" s="341" t="b">
        <f>IF($AE$67="3 CON FRONTALE",(($L53*2+$Q53)+($Q53*1.2+8))/1000*N53,IF(OR($AE$67="4 LATI CON FORI",$AE$67="4 SENZA FORI"),(($L53+$Q53)*2)/1000*N53,IF($AE$67="3 LATI",(($L53*2)+$Q53)/1000*N53)))</f>
        <v>0</v>
      </c>
      <c r="X106" s="563" t="s">
        <v>27</v>
      </c>
      <c r="Y106" s="353">
        <f>SUM(O53)</f>
        <v>0</v>
      </c>
      <c r="Z106" s="321"/>
      <c r="AA106" s="321"/>
      <c r="AB106" s="321"/>
      <c r="AC106" s="321"/>
      <c r="AD106" s="322"/>
      <c r="AE106" s="353">
        <f>IF(AM52&gt;0,SUM(AM52),0)</f>
        <v>0</v>
      </c>
      <c r="AF106" s="321"/>
      <c r="AG106" s="321"/>
      <c r="AH106" s="321"/>
      <c r="AI106" s="354">
        <f>$P$53</f>
        <v>0</v>
      </c>
      <c r="AJ106" s="355"/>
      <c r="AK106" s="353">
        <f>IF(AB52&gt;0,SUM(AB52),0)</f>
        <v>0</v>
      </c>
      <c r="AL106" s="321"/>
      <c r="AM106" s="321"/>
      <c r="AN106" s="321"/>
      <c r="AO106" s="354">
        <f>$Q$53</f>
        <v>0</v>
      </c>
      <c r="AP106" s="355"/>
      <c r="AQ106" s="353">
        <f>SUM(AJ53)</f>
        <v>0</v>
      </c>
      <c r="AR106" s="321"/>
      <c r="AS106" s="321"/>
      <c r="AT106" s="321"/>
      <c r="AU106" s="321"/>
      <c r="AV106" s="322"/>
      <c r="AW106" s="542">
        <f t="shared" ref="AW106" si="7">IF(BC106&gt;0,SUM(BC106/Y106),0)</f>
        <v>0</v>
      </c>
      <c r="AX106" s="546"/>
      <c r="AY106" s="546"/>
      <c r="AZ106" s="546"/>
      <c r="BA106" s="546"/>
      <c r="BB106" s="547"/>
      <c r="BC106" s="320">
        <f>IF($Y106&gt;=10,SUM($Q106+$W106+$AQ$68+$AQ$65)*$Y106,IF($Y106&lt;10,SUM(($Q106+$W106+$AQ$68)*1.2+$AQ$65)*$Y106,""))</f>
        <v>0</v>
      </c>
      <c r="BD106" s="550"/>
      <c r="BE106" s="550"/>
      <c r="BF106" s="550"/>
      <c r="BG106" s="550"/>
      <c r="BH106" s="551"/>
      <c r="BI106" s="6"/>
      <c r="BJ106" s="542">
        <f>SUM(BL106*2)</f>
        <v>0</v>
      </c>
      <c r="BK106" s="6"/>
      <c r="BL106" s="542">
        <f>IF(BC106&gt;0,SUM(BR106/Y106),0)</f>
        <v>0</v>
      </c>
      <c r="BM106" s="546"/>
      <c r="BN106" s="546"/>
      <c r="BO106" s="546"/>
      <c r="BP106" s="546"/>
      <c r="BQ106" s="547"/>
      <c r="BR106" s="320">
        <f>IF($Y106&gt;=10,SUM($Q106+$W106+$AQ$68+$AQ$65+Foglio1!$T$128)*$Y106,IF($Y106&lt;10,SUM(($Q106+$W106+$AQ$68)*1.2+$AQ$65+Foglio1!$T$128)*$Y106,""))</f>
        <v>0</v>
      </c>
      <c r="BS106" s="550"/>
      <c r="BT106" s="550"/>
      <c r="BU106" s="550"/>
      <c r="BV106" s="550"/>
      <c r="BW106" s="551"/>
      <c r="BX106" s="6"/>
      <c r="BY106" s="6"/>
      <c r="BZ106" s="6"/>
      <c r="CA106" s="6"/>
      <c r="CB106" s="6"/>
      <c r="CC106" s="6"/>
      <c r="CD106" s="6"/>
    </row>
    <row r="107" spans="12:82" ht="12" customHeight="1" thickBot="1">
      <c r="L107" s="6"/>
      <c r="M107" s="6"/>
      <c r="N107" s="6"/>
      <c r="O107" s="329"/>
      <c r="P107" s="556"/>
      <c r="Q107" s="560"/>
      <c r="R107" s="561"/>
      <c r="S107" s="561"/>
      <c r="T107" s="561"/>
      <c r="U107" s="561"/>
      <c r="V107" s="562"/>
      <c r="W107" s="342"/>
      <c r="X107" s="563"/>
      <c r="Y107" s="323"/>
      <c r="Z107" s="324"/>
      <c r="AA107" s="324"/>
      <c r="AB107" s="324"/>
      <c r="AC107" s="324"/>
      <c r="AD107" s="325"/>
      <c r="AE107" s="323"/>
      <c r="AF107" s="324"/>
      <c r="AG107" s="324"/>
      <c r="AH107" s="324"/>
      <c r="AI107" s="23"/>
      <c r="AJ107" s="24"/>
      <c r="AK107" s="323"/>
      <c r="AL107" s="324"/>
      <c r="AM107" s="324"/>
      <c r="AN107" s="324"/>
      <c r="AO107" s="23"/>
      <c r="AP107" s="24"/>
      <c r="AQ107" s="323"/>
      <c r="AR107" s="324"/>
      <c r="AS107" s="324"/>
      <c r="AT107" s="324"/>
      <c r="AU107" s="324"/>
      <c r="AV107" s="325"/>
      <c r="AW107" s="543"/>
      <c r="AX107" s="548"/>
      <c r="AY107" s="548"/>
      <c r="AZ107" s="548"/>
      <c r="BA107" s="548"/>
      <c r="BB107" s="549"/>
      <c r="BC107" s="552"/>
      <c r="BD107" s="553"/>
      <c r="BE107" s="553"/>
      <c r="BF107" s="553"/>
      <c r="BG107" s="553"/>
      <c r="BH107" s="554"/>
      <c r="BI107" s="6"/>
      <c r="BJ107" s="543"/>
      <c r="BK107" s="6"/>
      <c r="BL107" s="543"/>
      <c r="BM107" s="548"/>
      <c r="BN107" s="548"/>
      <c r="BO107" s="548"/>
      <c r="BP107" s="548"/>
      <c r="BQ107" s="549"/>
      <c r="BR107" s="552"/>
      <c r="BS107" s="553"/>
      <c r="BT107" s="553"/>
      <c r="BU107" s="553"/>
      <c r="BV107" s="553"/>
      <c r="BW107" s="554"/>
      <c r="BX107" s="6"/>
      <c r="BY107" s="6"/>
      <c r="BZ107" s="6"/>
      <c r="CA107" s="6"/>
      <c r="CB107" s="6"/>
      <c r="CC107" s="6"/>
      <c r="CD107" s="6"/>
    </row>
    <row r="108" spans="12:82" ht="12" customHeight="1">
      <c r="L108" s="6"/>
      <c r="M108" s="6"/>
      <c r="N108" s="6"/>
      <c r="O108" s="6"/>
      <c r="P108" s="336"/>
      <c r="Q108" s="26"/>
      <c r="R108" s="26"/>
      <c r="S108" s="26"/>
      <c r="T108" s="26"/>
      <c r="U108" s="26"/>
      <c r="V108" s="26"/>
      <c r="W108" s="26"/>
      <c r="X108" s="4"/>
      <c r="Y108" s="358" t="str">
        <f>IF($P$13="NO","NO FORI"," ")</f>
        <v xml:space="preserve"> </v>
      </c>
      <c r="Z108" s="358"/>
      <c r="AA108" s="358"/>
      <c r="AB108" s="358"/>
      <c r="AC108" s="358"/>
      <c r="AD108" s="358"/>
      <c r="AE108" s="358"/>
      <c r="AF108" s="358"/>
      <c r="AG108" s="86"/>
      <c r="AH108" s="86"/>
      <c r="AI108" s="21"/>
      <c r="AJ108" s="358" t="str">
        <f>IF($P$15="NO","SMONTATI"," ")</f>
        <v xml:space="preserve"> </v>
      </c>
      <c r="AK108" s="358"/>
      <c r="AL108" s="358"/>
      <c r="AM108" s="358"/>
      <c r="AN108" s="358"/>
      <c r="AO108" s="358"/>
      <c r="AP108" s="87"/>
      <c r="AQ108" s="87"/>
      <c r="AR108" s="87"/>
      <c r="AS108" s="87"/>
      <c r="AT108" s="359" t="str">
        <f>IF($W$15="SFILABILE DAVANTI","FONDO SFILABILE DAVANTI",IF($W$15="NO","NON DARE IL FONDO",IF(ISNUMBER(FIND("GREZZO",$Q$11)),"FONDO SFILABILE DIETRO",IF($W$15="SFILABILE DIETRO","FONDO SFILABILE DIETRO"," "))))</f>
        <v xml:space="preserve"> </v>
      </c>
      <c r="AU108" s="359"/>
      <c r="AV108" s="359"/>
      <c r="AW108" s="359"/>
      <c r="AX108" s="359"/>
      <c r="AY108" s="359"/>
      <c r="AZ108" s="359"/>
      <c r="BA108" s="359"/>
      <c r="BB108" s="359"/>
      <c r="BC108" s="359"/>
      <c r="BD108" s="359"/>
      <c r="BE108" s="359"/>
      <c r="BF108" s="359"/>
      <c r="BG108" s="359"/>
      <c r="BH108" s="359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</row>
    <row r="109" spans="12:82" ht="12" customHeight="1">
      <c r="L109" s="6"/>
      <c r="M109" s="6"/>
      <c r="N109" s="6"/>
      <c r="O109" s="6"/>
      <c r="P109" s="555"/>
      <c r="Q109" s="26"/>
      <c r="R109" s="26"/>
      <c r="S109" s="26"/>
      <c r="T109" s="26"/>
      <c r="U109" s="26"/>
      <c r="V109" s="26"/>
      <c r="W109" s="26"/>
      <c r="X109" s="4"/>
      <c r="Y109" s="360" t="s">
        <v>21</v>
      </c>
      <c r="Z109" s="360"/>
      <c r="AA109" s="360"/>
      <c r="AB109" s="360"/>
      <c r="AC109" s="356" t="str">
        <f>IF(MODULO!$AL$30&gt;0,MODULO!$AL$30,"")</f>
        <v/>
      </c>
      <c r="AD109" s="356"/>
      <c r="AE109" s="356"/>
      <c r="AF109" s="356"/>
      <c r="AG109" s="356"/>
      <c r="AH109" s="356"/>
      <c r="AI109" s="356"/>
      <c r="AJ109" s="356"/>
      <c r="AK109" s="356"/>
      <c r="AL109" s="356"/>
      <c r="AM109" s="356"/>
      <c r="AN109" s="356"/>
      <c r="AO109" s="356"/>
      <c r="AP109" s="356"/>
      <c r="AQ109" s="356"/>
      <c r="AR109" s="356"/>
      <c r="AS109" s="356"/>
      <c r="AT109" s="356"/>
      <c r="AU109" s="356"/>
      <c r="AV109" s="356"/>
      <c r="AW109" s="356"/>
      <c r="AX109" s="356"/>
      <c r="AY109" s="356"/>
      <c r="AZ109" s="356"/>
      <c r="BA109" s="356"/>
      <c r="BB109" s="356"/>
      <c r="BC109" s="356"/>
      <c r="BD109" s="356"/>
      <c r="BE109" s="356"/>
      <c r="BF109" s="356"/>
      <c r="BG109" s="356"/>
      <c r="BH109" s="35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</row>
    <row r="110" spans="12:82" ht="12" customHeight="1">
      <c r="L110" s="6"/>
      <c r="M110" s="6"/>
      <c r="N110" s="6"/>
      <c r="O110" s="6"/>
      <c r="P110" s="344"/>
      <c r="Q110" s="26"/>
      <c r="R110" s="26"/>
      <c r="S110" s="26"/>
      <c r="T110" s="26"/>
      <c r="U110" s="26"/>
      <c r="V110" s="26"/>
      <c r="W110" s="26"/>
      <c r="X110" s="4"/>
      <c r="Y110" s="360"/>
      <c r="Z110" s="360"/>
      <c r="AA110" s="360"/>
      <c r="AB110" s="360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  <c r="AO110" s="357"/>
      <c r="AP110" s="357"/>
      <c r="AQ110" s="357"/>
      <c r="AR110" s="357"/>
      <c r="AS110" s="357"/>
      <c r="AT110" s="357"/>
      <c r="AU110" s="357"/>
      <c r="AV110" s="357"/>
      <c r="AW110" s="357"/>
      <c r="AX110" s="357"/>
      <c r="AY110" s="357"/>
      <c r="AZ110" s="357"/>
      <c r="BA110" s="357"/>
      <c r="BB110" s="357"/>
      <c r="BC110" s="357"/>
      <c r="BD110" s="357"/>
      <c r="BE110" s="357"/>
      <c r="BF110" s="357"/>
      <c r="BG110" s="357"/>
      <c r="BH110" s="357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</row>
    <row r="111" spans="12:82" ht="12.75" customHeight="1">
      <c r="L111" s="6"/>
      <c r="M111" s="6"/>
      <c r="N111" s="6"/>
      <c r="O111" s="6"/>
      <c r="P111" s="344"/>
      <c r="Q111" s="6"/>
      <c r="R111" s="6"/>
      <c r="S111" s="6"/>
      <c r="T111" s="6"/>
      <c r="U111" s="6"/>
      <c r="V111" s="6"/>
      <c r="W111" s="6"/>
      <c r="X111" s="4"/>
      <c r="Y111" s="360"/>
      <c r="Z111" s="360"/>
      <c r="AA111" s="360"/>
      <c r="AB111" s="360"/>
      <c r="AC111" s="361" t="str">
        <f>IF(MODULO!$AL$35&gt;0,MODULO!$AL$35,"")</f>
        <v/>
      </c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</row>
    <row r="112" spans="12:82" ht="12.75" customHeight="1"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</row>
    <row r="113" spans="12:82" ht="12.75" customHeight="1">
      <c r="L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</row>
    <row r="114" spans="12:82" ht="12.75" customHeight="1">
      <c r="L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</row>
    <row r="115" spans="12:82" ht="12.75" customHeight="1">
      <c r="L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</row>
    <row r="138" spans="24:60" ht="20.399999999999999">
      <c r="X138" s="4"/>
      <c r="Y138" s="18"/>
      <c r="Z138" s="18"/>
      <c r="AA138" s="18"/>
      <c r="AB138" s="5"/>
      <c r="AC138" s="544"/>
      <c r="AD138" s="544"/>
      <c r="AE138" s="544"/>
      <c r="AF138" s="544"/>
      <c r="AG138" s="544"/>
      <c r="AH138" s="544"/>
      <c r="AI138" s="544"/>
      <c r="AJ138" s="544"/>
      <c r="AK138" s="544"/>
      <c r="AL138" s="544"/>
      <c r="AM138" s="544"/>
      <c r="AN138" s="19"/>
      <c r="AO138" s="544"/>
      <c r="AP138" s="544"/>
      <c r="AQ138" s="544"/>
      <c r="AR138" s="544"/>
      <c r="AS138" s="544"/>
      <c r="AT138" s="36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411"/>
    </row>
    <row r="139" spans="24:60" ht="20.399999999999999">
      <c r="X139" s="4"/>
      <c r="Y139" s="360"/>
      <c r="Z139" s="360"/>
      <c r="AA139" s="360"/>
      <c r="AB139" s="360"/>
      <c r="AC139" s="545"/>
      <c r="AD139" s="545"/>
      <c r="AE139" s="545"/>
      <c r="AF139" s="545"/>
      <c r="AG139" s="545"/>
      <c r="AH139" s="545"/>
      <c r="AI139" s="545"/>
      <c r="AJ139" s="545"/>
      <c r="AK139" s="545"/>
      <c r="AL139" s="545"/>
      <c r="AM139" s="545"/>
      <c r="AN139" s="545"/>
      <c r="AO139" s="545"/>
      <c r="AP139" s="545"/>
      <c r="AQ139" s="545"/>
      <c r="AR139" s="545"/>
      <c r="AS139" s="545"/>
      <c r="AT139" s="545"/>
      <c r="AU139" s="545"/>
      <c r="AV139" s="545"/>
      <c r="AW139" s="545"/>
      <c r="AX139" s="545"/>
      <c r="AY139" s="545"/>
      <c r="AZ139" s="545"/>
      <c r="BA139" s="545"/>
      <c r="BB139" s="545"/>
      <c r="BC139" s="545"/>
      <c r="BD139" s="545"/>
      <c r="BE139" s="545"/>
      <c r="BF139" s="545"/>
      <c r="BG139" s="545"/>
      <c r="BH139" s="545"/>
    </row>
    <row r="140" spans="24:60" ht="20.399999999999999">
      <c r="X140" s="4"/>
      <c r="Y140" s="18"/>
      <c r="Z140" s="18"/>
      <c r="AA140" s="18"/>
      <c r="AB140" s="5"/>
      <c r="AC140" s="545"/>
      <c r="AD140" s="545"/>
      <c r="AE140" s="545"/>
      <c r="AF140" s="545"/>
      <c r="AG140" s="545"/>
      <c r="AH140" s="545"/>
      <c r="AI140" s="545"/>
      <c r="AJ140" s="545"/>
      <c r="AK140" s="545"/>
      <c r="AL140" s="545"/>
      <c r="AM140" s="545"/>
      <c r="AN140" s="545"/>
      <c r="AO140" s="545"/>
      <c r="AP140" s="545"/>
      <c r="AQ140" s="545"/>
      <c r="AR140" s="545"/>
      <c r="AS140" s="545"/>
      <c r="AT140" s="545"/>
      <c r="AU140" s="545"/>
      <c r="AV140" s="545"/>
      <c r="AW140" s="545"/>
      <c r="AX140" s="545"/>
      <c r="AY140" s="545"/>
      <c r="AZ140" s="545"/>
      <c r="BA140" s="545"/>
      <c r="BB140" s="545"/>
      <c r="BC140" s="545"/>
      <c r="BD140" s="545"/>
      <c r="BE140" s="545"/>
      <c r="BF140" s="545"/>
      <c r="BG140" s="545"/>
      <c r="BH140" s="545"/>
    </row>
  </sheetData>
  <sheetProtection algorithmName="SHA-512" hashValue="vjZWgN8JLoZUpt7ua6/WuQ1h7XGp6ztByZPcJqn3ZYFeiNoGNLsDlI/XSfkn+gLVN+yJBO8fINY5juQwdRv83w==" saltValue="KWVBBSisOqbzAEOvUgmwjg==" spinCount="100000" sheet="1" objects="1" scenarios="1" selectLockedCells="1"/>
  <mergeCells count="669">
    <mergeCell ref="BL90:BQ91"/>
    <mergeCell ref="BR90:BW91"/>
    <mergeCell ref="BL94:BQ95"/>
    <mergeCell ref="BR94:BW95"/>
    <mergeCell ref="BL98:BQ99"/>
    <mergeCell ref="BR98:BW99"/>
    <mergeCell ref="BL102:BQ103"/>
    <mergeCell ref="BR102:BW103"/>
    <mergeCell ref="BL106:BQ107"/>
    <mergeCell ref="BR106:BW107"/>
    <mergeCell ref="BL70:BQ71"/>
    <mergeCell ref="BR70:BW71"/>
    <mergeCell ref="BL74:BQ75"/>
    <mergeCell ref="BR74:BW75"/>
    <mergeCell ref="BL78:BQ79"/>
    <mergeCell ref="BR78:BW79"/>
    <mergeCell ref="BL82:BQ83"/>
    <mergeCell ref="BR82:BW83"/>
    <mergeCell ref="BL86:BQ87"/>
    <mergeCell ref="BR86:BW87"/>
    <mergeCell ref="M25:M26"/>
    <mergeCell ref="M29:M30"/>
    <mergeCell ref="M33:M34"/>
    <mergeCell ref="N33:N34"/>
    <mergeCell ref="M37:M38"/>
    <mergeCell ref="N37:N38"/>
    <mergeCell ref="A3:K3"/>
    <mergeCell ref="A27:K27"/>
    <mergeCell ref="A28:F28"/>
    <mergeCell ref="J28:K28"/>
    <mergeCell ref="A30:F30"/>
    <mergeCell ref="J30:K30"/>
    <mergeCell ref="A32:F32"/>
    <mergeCell ref="J32:K32"/>
    <mergeCell ref="J33:K33"/>
    <mergeCell ref="J35:K35"/>
    <mergeCell ref="J36:K36"/>
    <mergeCell ref="J38:K38"/>
    <mergeCell ref="N29:N30"/>
    <mergeCell ref="N25:N26"/>
    <mergeCell ref="N17:N18"/>
    <mergeCell ref="N21:N22"/>
    <mergeCell ref="L14:L16"/>
    <mergeCell ref="L17:L18"/>
    <mergeCell ref="A57:D57"/>
    <mergeCell ref="J57:K57"/>
    <mergeCell ref="A48:F48"/>
    <mergeCell ref="J48:K48"/>
    <mergeCell ref="A52:H52"/>
    <mergeCell ref="I52:K52"/>
    <mergeCell ref="A53:H53"/>
    <mergeCell ref="I53:K53"/>
    <mergeCell ref="A40:A41"/>
    <mergeCell ref="J40:K40"/>
    <mergeCell ref="J41:K41"/>
    <mergeCell ref="A44:I44"/>
    <mergeCell ref="J44:K44"/>
    <mergeCell ref="A46:F46"/>
    <mergeCell ref="G46:I46"/>
    <mergeCell ref="J46:K46"/>
    <mergeCell ref="A47:F47"/>
    <mergeCell ref="G47:I47"/>
    <mergeCell ref="J47:K47"/>
    <mergeCell ref="M41:M42"/>
    <mergeCell ref="N41:N42"/>
    <mergeCell ref="M45:M46"/>
    <mergeCell ref="N45:N46"/>
    <mergeCell ref="L45:L46"/>
    <mergeCell ref="L41:L42"/>
    <mergeCell ref="L49:L50"/>
    <mergeCell ref="A56:D56"/>
    <mergeCell ref="J56:K56"/>
    <mergeCell ref="L53:L54"/>
    <mergeCell ref="Q67:V67"/>
    <mergeCell ref="Y67:AD67"/>
    <mergeCell ref="M49:M50"/>
    <mergeCell ref="N49:N50"/>
    <mergeCell ref="M53:M54"/>
    <mergeCell ref="N53:N54"/>
    <mergeCell ref="O49:O50"/>
    <mergeCell ref="P49:P50"/>
    <mergeCell ref="Q52:V52"/>
    <mergeCell ref="X52:X54"/>
    <mergeCell ref="Y52:AA52"/>
    <mergeCell ref="AB52:AD52"/>
    <mergeCell ref="O53:O54"/>
    <mergeCell ref="P53:P54"/>
    <mergeCell ref="Q53:V54"/>
    <mergeCell ref="W53:W54"/>
    <mergeCell ref="Y53:AD53"/>
    <mergeCell ref="Y55:AA55"/>
    <mergeCell ref="AB55:AD55"/>
    <mergeCell ref="O106:O107"/>
    <mergeCell ref="O70:O71"/>
    <mergeCell ref="O74:O75"/>
    <mergeCell ref="O78:O79"/>
    <mergeCell ref="O82:O83"/>
    <mergeCell ref="O86:O87"/>
    <mergeCell ref="O90:O91"/>
    <mergeCell ref="O94:O95"/>
    <mergeCell ref="O98:O99"/>
    <mergeCell ref="O102:O103"/>
    <mergeCell ref="BJ106:BJ107"/>
    <mergeCell ref="BJ70:BJ71"/>
    <mergeCell ref="BJ74:BJ75"/>
    <mergeCell ref="BJ78:BJ79"/>
    <mergeCell ref="BJ82:BJ83"/>
    <mergeCell ref="BJ86:BJ87"/>
    <mergeCell ref="BJ90:BJ91"/>
    <mergeCell ref="BJ94:BJ95"/>
    <mergeCell ref="BJ98:BJ99"/>
    <mergeCell ref="BJ102:BJ103"/>
    <mergeCell ref="AC111:BH111"/>
    <mergeCell ref="Y56:AF56"/>
    <mergeCell ref="AJ56:AO56"/>
    <mergeCell ref="AT56:BH56"/>
    <mergeCell ref="AC57:BH58"/>
    <mergeCell ref="AC59:BH59"/>
    <mergeCell ref="AD60:AV60"/>
    <mergeCell ref="Y61:AD61"/>
    <mergeCell ref="AE61:BH61"/>
    <mergeCell ref="AW60:BC60"/>
    <mergeCell ref="BD60:BH60"/>
    <mergeCell ref="Y65:AD65"/>
    <mergeCell ref="AE65:AM65"/>
    <mergeCell ref="AN65:AP65"/>
    <mergeCell ref="AQ65:AS65"/>
    <mergeCell ref="AQ67:AS67"/>
    <mergeCell ref="AO74:AP74"/>
    <mergeCell ref="BC69:BH69"/>
    <mergeCell ref="AQ74:AV75"/>
    <mergeCell ref="AW74:BB75"/>
    <mergeCell ref="BC74:BH75"/>
    <mergeCell ref="AW82:BB83"/>
    <mergeCell ref="BC82:BH83"/>
    <mergeCell ref="AW94:BB95"/>
    <mergeCell ref="Y47:AA47"/>
    <mergeCell ref="AB47:AD47"/>
    <mergeCell ref="AE47:AF47"/>
    <mergeCell ref="AG47:AI47"/>
    <mergeCell ref="AJ47:AL47"/>
    <mergeCell ref="AM47:AZ47"/>
    <mergeCell ref="BA47:BH47"/>
    <mergeCell ref="Y51:AA51"/>
    <mergeCell ref="AB51:AD51"/>
    <mergeCell ref="AE51:AF51"/>
    <mergeCell ref="AG51:AI51"/>
    <mergeCell ref="AJ51:AL51"/>
    <mergeCell ref="AM51:AZ51"/>
    <mergeCell ref="BA51:BH51"/>
    <mergeCell ref="AX48:AZ50"/>
    <mergeCell ref="BA48:BD50"/>
    <mergeCell ref="BE48:BH48"/>
    <mergeCell ref="BE49:BH50"/>
    <mergeCell ref="Y35:AA35"/>
    <mergeCell ref="AB35:AD35"/>
    <mergeCell ref="AE35:AF35"/>
    <mergeCell ref="AG35:AI35"/>
    <mergeCell ref="AJ35:AL35"/>
    <mergeCell ref="AM35:AZ35"/>
    <mergeCell ref="BA35:BH35"/>
    <mergeCell ref="Y39:AA39"/>
    <mergeCell ref="AB39:AD39"/>
    <mergeCell ref="AE39:AF39"/>
    <mergeCell ref="AG39:AI39"/>
    <mergeCell ref="AJ39:AL39"/>
    <mergeCell ref="AM39:AZ39"/>
    <mergeCell ref="BA39:BH39"/>
    <mergeCell ref="AJ36:AL36"/>
    <mergeCell ref="AM36:AS36"/>
    <mergeCell ref="AT36:AW38"/>
    <mergeCell ref="AM38:AO38"/>
    <mergeCell ref="AQ38:AS38"/>
    <mergeCell ref="AJ37:AL37"/>
    <mergeCell ref="AM37:AS37"/>
    <mergeCell ref="BE37:BH38"/>
    <mergeCell ref="AJ38:AL38"/>
    <mergeCell ref="AX36:AZ38"/>
    <mergeCell ref="Y23:AA23"/>
    <mergeCell ref="AB23:AD23"/>
    <mergeCell ref="AE23:AF23"/>
    <mergeCell ref="AG23:AI23"/>
    <mergeCell ref="AJ23:AL23"/>
    <mergeCell ref="AM23:AZ23"/>
    <mergeCell ref="BA23:BH23"/>
    <mergeCell ref="Y27:AA27"/>
    <mergeCell ref="AB27:AD27"/>
    <mergeCell ref="AE27:AF27"/>
    <mergeCell ref="AG27:AI27"/>
    <mergeCell ref="AJ27:AL27"/>
    <mergeCell ref="AM27:AZ27"/>
    <mergeCell ref="BA27:BH27"/>
    <mergeCell ref="BE25:BH26"/>
    <mergeCell ref="AX24:AZ26"/>
    <mergeCell ref="BA24:BD26"/>
    <mergeCell ref="BE24:BH24"/>
    <mergeCell ref="AU13:AW13"/>
    <mergeCell ref="AX13:BH13"/>
    <mergeCell ref="Y19:AA19"/>
    <mergeCell ref="AB19:AD19"/>
    <mergeCell ref="AE19:AF19"/>
    <mergeCell ref="AG19:AI19"/>
    <mergeCell ref="AJ19:AL19"/>
    <mergeCell ref="AM19:AZ19"/>
    <mergeCell ref="BA19:BH19"/>
    <mergeCell ref="BA15:BD15"/>
    <mergeCell ref="BE15:BH15"/>
    <mergeCell ref="BA16:BD18"/>
    <mergeCell ref="BE16:BH16"/>
    <mergeCell ref="Y17:AD17"/>
    <mergeCell ref="AE17:AF17"/>
    <mergeCell ref="AG17:AI17"/>
    <mergeCell ref="AJ17:AL17"/>
    <mergeCell ref="AM17:AS17"/>
    <mergeCell ref="BE17:BH18"/>
    <mergeCell ref="Y18:AA18"/>
    <mergeCell ref="AB18:AD18"/>
    <mergeCell ref="AE18:AF18"/>
    <mergeCell ref="AG18:AI18"/>
    <mergeCell ref="AJ18:AL18"/>
    <mergeCell ref="P10:W10"/>
    <mergeCell ref="Q11:W11"/>
    <mergeCell ref="P8:W8"/>
    <mergeCell ref="P9:W9"/>
    <mergeCell ref="Y11:AC11"/>
    <mergeCell ref="AD11:AV11"/>
    <mergeCell ref="AW11:BC11"/>
    <mergeCell ref="BD11:BH11"/>
    <mergeCell ref="P12:V12"/>
    <mergeCell ref="Y12:AD12"/>
    <mergeCell ref="AE12:BH12"/>
    <mergeCell ref="S15:V15"/>
    <mergeCell ref="Y15:AD15"/>
    <mergeCell ref="AE15:AF15"/>
    <mergeCell ref="AG15:AI15"/>
    <mergeCell ref="AJ15:AL15"/>
    <mergeCell ref="AM15:AS15"/>
    <mergeCell ref="AT15:AW15"/>
    <mergeCell ref="AX15:AZ15"/>
    <mergeCell ref="Q16:V16"/>
    <mergeCell ref="X16:X18"/>
    <mergeCell ref="Y16:AA16"/>
    <mergeCell ref="AB16:AD16"/>
    <mergeCell ref="AE16:AF16"/>
    <mergeCell ref="AG16:AI16"/>
    <mergeCell ref="AJ16:AL16"/>
    <mergeCell ref="AM16:AS16"/>
    <mergeCell ref="AT16:AW18"/>
    <mergeCell ref="AX16:AZ18"/>
    <mergeCell ref="L21:L22"/>
    <mergeCell ref="O21:O22"/>
    <mergeCell ref="P21:P22"/>
    <mergeCell ref="Q21:V22"/>
    <mergeCell ref="W21:W22"/>
    <mergeCell ref="Y21:AD21"/>
    <mergeCell ref="AJ20:AL20"/>
    <mergeCell ref="AM20:AS20"/>
    <mergeCell ref="M17:M18"/>
    <mergeCell ref="M21:M22"/>
    <mergeCell ref="O17:O18"/>
    <mergeCell ref="P17:P18"/>
    <mergeCell ref="Q17:V18"/>
    <mergeCell ref="W17:W18"/>
    <mergeCell ref="AM18:AO18"/>
    <mergeCell ref="AQ18:AS18"/>
    <mergeCell ref="Q20:V20"/>
    <mergeCell ref="X20:X22"/>
    <mergeCell ref="Y20:AA20"/>
    <mergeCell ref="AB20:AD20"/>
    <mergeCell ref="AE20:AF20"/>
    <mergeCell ref="AG20:AI20"/>
    <mergeCell ref="AT20:AW22"/>
    <mergeCell ref="AM22:AO22"/>
    <mergeCell ref="AQ22:AS22"/>
    <mergeCell ref="AE21:AF21"/>
    <mergeCell ref="AG21:AI21"/>
    <mergeCell ref="AJ21:AL21"/>
    <mergeCell ref="AM21:AS21"/>
    <mergeCell ref="BE21:BH22"/>
    <mergeCell ref="Y22:AA22"/>
    <mergeCell ref="AB22:AD22"/>
    <mergeCell ref="AE22:AF22"/>
    <mergeCell ref="AG22:AI22"/>
    <mergeCell ref="AJ22:AL22"/>
    <mergeCell ref="AX20:AZ22"/>
    <mergeCell ref="BA20:BD22"/>
    <mergeCell ref="BE20:BH20"/>
    <mergeCell ref="Q24:V24"/>
    <mergeCell ref="X24:X26"/>
    <mergeCell ref="Y24:AA24"/>
    <mergeCell ref="AB24:AD24"/>
    <mergeCell ref="AE24:AF24"/>
    <mergeCell ref="AG24:AI24"/>
    <mergeCell ref="AJ24:AL24"/>
    <mergeCell ref="AM24:AS24"/>
    <mergeCell ref="AT24:AW26"/>
    <mergeCell ref="AG25:AI25"/>
    <mergeCell ref="AJ25:AL25"/>
    <mergeCell ref="AM25:AS25"/>
    <mergeCell ref="Y26:AA26"/>
    <mergeCell ref="AB26:AD26"/>
    <mergeCell ref="AE26:AF26"/>
    <mergeCell ref="Y25:AD25"/>
    <mergeCell ref="AE25:AF25"/>
    <mergeCell ref="AG26:AI26"/>
    <mergeCell ref="AJ26:AL26"/>
    <mergeCell ref="AM26:AO26"/>
    <mergeCell ref="L29:L30"/>
    <mergeCell ref="O29:O30"/>
    <mergeCell ref="P29:P30"/>
    <mergeCell ref="Q29:V30"/>
    <mergeCell ref="W29:W30"/>
    <mergeCell ref="Y29:AD29"/>
    <mergeCell ref="AQ26:AS26"/>
    <mergeCell ref="Q28:V28"/>
    <mergeCell ref="X28:X30"/>
    <mergeCell ref="Y28:AA28"/>
    <mergeCell ref="AB28:AD28"/>
    <mergeCell ref="AE28:AF28"/>
    <mergeCell ref="AG28:AI28"/>
    <mergeCell ref="AJ28:AL28"/>
    <mergeCell ref="AM28:AS28"/>
    <mergeCell ref="L25:L26"/>
    <mergeCell ref="O25:O26"/>
    <mergeCell ref="P25:P26"/>
    <mergeCell ref="Q25:V26"/>
    <mergeCell ref="W25:W26"/>
    <mergeCell ref="AE29:AF29"/>
    <mergeCell ref="AG29:AI29"/>
    <mergeCell ref="AJ29:AL29"/>
    <mergeCell ref="AM29:AS29"/>
    <mergeCell ref="BE29:BH30"/>
    <mergeCell ref="Y30:AA30"/>
    <mergeCell ref="AB30:AD30"/>
    <mergeCell ref="AE30:AF30"/>
    <mergeCell ref="AG30:AI30"/>
    <mergeCell ref="AJ30:AL30"/>
    <mergeCell ref="AT28:AW30"/>
    <mergeCell ref="AX28:AZ30"/>
    <mergeCell ref="BA28:BD30"/>
    <mergeCell ref="BE28:BH28"/>
    <mergeCell ref="AM30:AO30"/>
    <mergeCell ref="AQ30:AS30"/>
    <mergeCell ref="Q32:V32"/>
    <mergeCell ref="X32:X34"/>
    <mergeCell ref="Y32:AA32"/>
    <mergeCell ref="AB32:AD32"/>
    <mergeCell ref="AE32:AF32"/>
    <mergeCell ref="AG32:AI32"/>
    <mergeCell ref="AJ32:AL32"/>
    <mergeCell ref="AM32:AS32"/>
    <mergeCell ref="AT32:AW34"/>
    <mergeCell ref="AX32:AZ34"/>
    <mergeCell ref="BA32:BD34"/>
    <mergeCell ref="BE32:BH32"/>
    <mergeCell ref="AM33:AS33"/>
    <mergeCell ref="BE33:BH34"/>
    <mergeCell ref="AM34:AO34"/>
    <mergeCell ref="AQ34:AS34"/>
    <mergeCell ref="Y31:AA31"/>
    <mergeCell ref="AB31:AD31"/>
    <mergeCell ref="AE31:AF31"/>
    <mergeCell ref="AG31:AI31"/>
    <mergeCell ref="AJ31:AL31"/>
    <mergeCell ref="AM31:AZ31"/>
    <mergeCell ref="BA31:BH31"/>
    <mergeCell ref="L33:L34"/>
    <mergeCell ref="O33:O34"/>
    <mergeCell ref="P33:P34"/>
    <mergeCell ref="Q33:V34"/>
    <mergeCell ref="W33:W34"/>
    <mergeCell ref="Y33:AD33"/>
    <mergeCell ref="AE33:AF33"/>
    <mergeCell ref="AG33:AI33"/>
    <mergeCell ref="AJ33:AL33"/>
    <mergeCell ref="Y34:AA34"/>
    <mergeCell ref="AB34:AD34"/>
    <mergeCell ref="AE34:AF34"/>
    <mergeCell ref="AG34:AI34"/>
    <mergeCell ref="AJ34:AL34"/>
    <mergeCell ref="Q36:V36"/>
    <mergeCell ref="X36:X38"/>
    <mergeCell ref="Y36:AA36"/>
    <mergeCell ref="AB36:AD36"/>
    <mergeCell ref="AE36:AF36"/>
    <mergeCell ref="AG36:AI36"/>
    <mergeCell ref="L37:L38"/>
    <mergeCell ref="O37:O38"/>
    <mergeCell ref="P37:P38"/>
    <mergeCell ref="Q37:V38"/>
    <mergeCell ref="W37:W38"/>
    <mergeCell ref="Y37:AD37"/>
    <mergeCell ref="AE37:AF37"/>
    <mergeCell ref="AG37:AI37"/>
    <mergeCell ref="Y38:AA38"/>
    <mergeCell ref="AB38:AD38"/>
    <mergeCell ref="AE38:AF38"/>
    <mergeCell ref="AG38:AI38"/>
    <mergeCell ref="BA36:BD38"/>
    <mergeCell ref="BE36:BH36"/>
    <mergeCell ref="Q40:V40"/>
    <mergeCell ref="X40:X42"/>
    <mergeCell ref="Y40:AA40"/>
    <mergeCell ref="AB40:AD40"/>
    <mergeCell ref="AE40:AF40"/>
    <mergeCell ref="AG40:AI40"/>
    <mergeCell ref="AJ40:AL40"/>
    <mergeCell ref="AM40:AS40"/>
    <mergeCell ref="AT40:AW42"/>
    <mergeCell ref="AG41:AI41"/>
    <mergeCell ref="AJ41:AL41"/>
    <mergeCell ref="AM41:AS41"/>
    <mergeCell ref="BE41:BH42"/>
    <mergeCell ref="Y42:AA42"/>
    <mergeCell ref="AB42:AD42"/>
    <mergeCell ref="AE42:AF42"/>
    <mergeCell ref="AX40:AZ42"/>
    <mergeCell ref="BA40:BD42"/>
    <mergeCell ref="BE40:BH40"/>
    <mergeCell ref="Y41:AD41"/>
    <mergeCell ref="AE41:AF41"/>
    <mergeCell ref="AG42:AI42"/>
    <mergeCell ref="O45:O46"/>
    <mergeCell ref="P45:P46"/>
    <mergeCell ref="Q45:V46"/>
    <mergeCell ref="W45:W46"/>
    <mergeCell ref="Y45:AD45"/>
    <mergeCell ref="AQ42:AS42"/>
    <mergeCell ref="Q44:V44"/>
    <mergeCell ref="X44:X46"/>
    <mergeCell ref="Y44:AA44"/>
    <mergeCell ref="AB44:AD44"/>
    <mergeCell ref="AE44:AF44"/>
    <mergeCell ref="AG44:AI44"/>
    <mergeCell ref="AJ44:AL44"/>
    <mergeCell ref="AM44:AS44"/>
    <mergeCell ref="O41:O42"/>
    <mergeCell ref="P41:P42"/>
    <mergeCell ref="Q41:V42"/>
    <mergeCell ref="W41:W42"/>
    <mergeCell ref="AE45:AF45"/>
    <mergeCell ref="AG45:AI45"/>
    <mergeCell ref="AJ45:AL45"/>
    <mergeCell ref="AM45:AS45"/>
    <mergeCell ref="AJ42:AL42"/>
    <mergeCell ref="AM42:AO42"/>
    <mergeCell ref="Y43:AA43"/>
    <mergeCell ref="AB43:AD43"/>
    <mergeCell ref="AE43:AF43"/>
    <mergeCell ref="AG43:AI43"/>
    <mergeCell ref="AJ43:AL43"/>
    <mergeCell ref="AM43:AZ43"/>
    <mergeCell ref="BE45:BH46"/>
    <mergeCell ref="Y46:AA46"/>
    <mergeCell ref="AB46:AD46"/>
    <mergeCell ref="AE46:AF46"/>
    <mergeCell ref="AG46:AI46"/>
    <mergeCell ref="AJ46:AL46"/>
    <mergeCell ref="AT44:AW46"/>
    <mergeCell ref="AX44:AZ46"/>
    <mergeCell ref="BA44:BD46"/>
    <mergeCell ref="BE44:BH44"/>
    <mergeCell ref="AM46:AO46"/>
    <mergeCell ref="AQ46:AS46"/>
    <mergeCell ref="BA43:BH43"/>
    <mergeCell ref="Q48:V48"/>
    <mergeCell ref="X48:X50"/>
    <mergeCell ref="Y48:AA48"/>
    <mergeCell ref="AB48:AD48"/>
    <mergeCell ref="AE48:AF48"/>
    <mergeCell ref="AG48:AI48"/>
    <mergeCell ref="AJ48:AL48"/>
    <mergeCell ref="AM48:AS48"/>
    <mergeCell ref="AT48:AW50"/>
    <mergeCell ref="AM49:AS49"/>
    <mergeCell ref="AM50:AO50"/>
    <mergeCell ref="AQ50:AS50"/>
    <mergeCell ref="Q49:V50"/>
    <mergeCell ref="W49:W50"/>
    <mergeCell ref="Y49:AD49"/>
    <mergeCell ref="AE49:AF49"/>
    <mergeCell ref="AG49:AI49"/>
    <mergeCell ref="AJ49:AL49"/>
    <mergeCell ref="Y50:AA50"/>
    <mergeCell ref="AB50:AD50"/>
    <mergeCell ref="AE50:AF50"/>
    <mergeCell ref="AG50:AI50"/>
    <mergeCell ref="AJ50:AL50"/>
    <mergeCell ref="BE53:BH54"/>
    <mergeCell ref="Y54:AA54"/>
    <mergeCell ref="AB54:AD54"/>
    <mergeCell ref="AE54:AF54"/>
    <mergeCell ref="AG54:AI54"/>
    <mergeCell ref="AJ54:AL54"/>
    <mergeCell ref="AX52:AZ54"/>
    <mergeCell ref="BA52:BD54"/>
    <mergeCell ref="BE52:BH52"/>
    <mergeCell ref="AJ52:AL52"/>
    <mergeCell ref="AM52:AS52"/>
    <mergeCell ref="AT52:AW54"/>
    <mergeCell ref="AM54:AO54"/>
    <mergeCell ref="AQ54:AS54"/>
    <mergeCell ref="AE53:AF53"/>
    <mergeCell ref="AG53:AI53"/>
    <mergeCell ref="AJ53:AL53"/>
    <mergeCell ref="AM53:AS53"/>
    <mergeCell ref="AE52:AF52"/>
    <mergeCell ref="AG52:AI52"/>
    <mergeCell ref="AJ55:AL55"/>
    <mergeCell ref="AM55:AZ55"/>
    <mergeCell ref="BA55:BH55"/>
    <mergeCell ref="Y64:AD64"/>
    <mergeCell ref="AE64:AJ64"/>
    <mergeCell ref="AK64:AS64"/>
    <mergeCell ref="Y60:AC60"/>
    <mergeCell ref="Y62:AE63"/>
    <mergeCell ref="AF62:AT63"/>
    <mergeCell ref="AU62:AW62"/>
    <mergeCell ref="AX62:BH62"/>
    <mergeCell ref="Y57:AB57"/>
    <mergeCell ref="AU64:BH67"/>
    <mergeCell ref="AE67:AJ67"/>
    <mergeCell ref="AK67:AM67"/>
    <mergeCell ref="AN67:AP67"/>
    <mergeCell ref="Y66:AD66"/>
    <mergeCell ref="AE66:AJ66"/>
    <mergeCell ref="AK66:AM66"/>
    <mergeCell ref="AN66:AP66"/>
    <mergeCell ref="AQ66:AS66"/>
    <mergeCell ref="AE55:AF55"/>
    <mergeCell ref="AG55:AI55"/>
    <mergeCell ref="P70:P71"/>
    <mergeCell ref="Q70:V71"/>
    <mergeCell ref="W70:W71"/>
    <mergeCell ref="X70:X71"/>
    <mergeCell ref="Y70:AD71"/>
    <mergeCell ref="AE70:AH71"/>
    <mergeCell ref="AI70:AJ70"/>
    <mergeCell ref="AK70:AN71"/>
    <mergeCell ref="AO70:AP70"/>
    <mergeCell ref="Q68:V68"/>
    <mergeCell ref="Y68:AD68"/>
    <mergeCell ref="AE68:AJ68"/>
    <mergeCell ref="AK68:AM68"/>
    <mergeCell ref="AN68:AP68"/>
    <mergeCell ref="BC78:BH79"/>
    <mergeCell ref="AE78:AH79"/>
    <mergeCell ref="AI78:AJ78"/>
    <mergeCell ref="AK78:AN79"/>
    <mergeCell ref="AO78:AP78"/>
    <mergeCell ref="AQ78:AV79"/>
    <mergeCell ref="AW78:BB79"/>
    <mergeCell ref="Q69:V69"/>
    <mergeCell ref="Y69:AD69"/>
    <mergeCell ref="AE69:AJ69"/>
    <mergeCell ref="AK69:AP69"/>
    <mergeCell ref="AQ69:AV69"/>
    <mergeCell ref="AW69:BB69"/>
    <mergeCell ref="AQ70:AV71"/>
    <mergeCell ref="AW70:BB71"/>
    <mergeCell ref="BC70:BH71"/>
    <mergeCell ref="AQ68:AS68"/>
    <mergeCell ref="P74:P75"/>
    <mergeCell ref="Q74:V75"/>
    <mergeCell ref="W74:W75"/>
    <mergeCell ref="X74:X75"/>
    <mergeCell ref="Y74:AD75"/>
    <mergeCell ref="AE74:AH75"/>
    <mergeCell ref="AI74:AJ74"/>
    <mergeCell ref="AK74:AN75"/>
    <mergeCell ref="AQ82:AV83"/>
    <mergeCell ref="P78:P79"/>
    <mergeCell ref="Q78:V79"/>
    <mergeCell ref="W78:W79"/>
    <mergeCell ref="X78:X79"/>
    <mergeCell ref="Y78:AD79"/>
    <mergeCell ref="AQ86:AV87"/>
    <mergeCell ref="AW86:BB87"/>
    <mergeCell ref="BC86:BH87"/>
    <mergeCell ref="P82:P83"/>
    <mergeCell ref="Q82:V83"/>
    <mergeCell ref="W82:W83"/>
    <mergeCell ref="X82:X83"/>
    <mergeCell ref="Y82:AD83"/>
    <mergeCell ref="AE82:AH83"/>
    <mergeCell ref="AI82:AJ82"/>
    <mergeCell ref="AK82:AN83"/>
    <mergeCell ref="AO82:AP82"/>
    <mergeCell ref="P86:P87"/>
    <mergeCell ref="Q86:V87"/>
    <mergeCell ref="W86:W87"/>
    <mergeCell ref="X86:X87"/>
    <mergeCell ref="Y86:AD87"/>
    <mergeCell ref="AE86:AH87"/>
    <mergeCell ref="AI86:AJ86"/>
    <mergeCell ref="AK86:AN87"/>
    <mergeCell ref="AO86:AP86"/>
    <mergeCell ref="AO98:AP98"/>
    <mergeCell ref="P90:P91"/>
    <mergeCell ref="Q90:V91"/>
    <mergeCell ref="W90:W91"/>
    <mergeCell ref="X90:X91"/>
    <mergeCell ref="Y90:AD91"/>
    <mergeCell ref="BC90:BH91"/>
    <mergeCell ref="P94:P95"/>
    <mergeCell ref="Q94:V95"/>
    <mergeCell ref="W94:W95"/>
    <mergeCell ref="X94:X95"/>
    <mergeCell ref="Y94:AD95"/>
    <mergeCell ref="AE94:AH95"/>
    <mergeCell ref="AI94:AJ94"/>
    <mergeCell ref="AK94:AN95"/>
    <mergeCell ref="AO94:AP94"/>
    <mergeCell ref="AE90:AH91"/>
    <mergeCell ref="AI90:AJ90"/>
    <mergeCell ref="AK90:AN91"/>
    <mergeCell ref="AO90:AP90"/>
    <mergeCell ref="AQ90:AV91"/>
    <mergeCell ref="AW90:BB91"/>
    <mergeCell ref="AQ94:AV95"/>
    <mergeCell ref="BC94:BH95"/>
    <mergeCell ref="Y109:AB111"/>
    <mergeCell ref="AQ98:AV99"/>
    <mergeCell ref="AW98:BB99"/>
    <mergeCell ref="BC98:BH99"/>
    <mergeCell ref="P102:P103"/>
    <mergeCell ref="Q102:V103"/>
    <mergeCell ref="W102:W103"/>
    <mergeCell ref="X102:X103"/>
    <mergeCell ref="Y102:AD103"/>
    <mergeCell ref="BC102:BH103"/>
    <mergeCell ref="AE102:AH103"/>
    <mergeCell ref="AI102:AJ102"/>
    <mergeCell ref="AK102:AN103"/>
    <mergeCell ref="AO102:AP102"/>
    <mergeCell ref="AQ102:AV103"/>
    <mergeCell ref="AW102:BB103"/>
    <mergeCell ref="P98:P99"/>
    <mergeCell ref="Q98:V99"/>
    <mergeCell ref="W98:W99"/>
    <mergeCell ref="X98:X99"/>
    <mergeCell ref="Y98:AD99"/>
    <mergeCell ref="AE98:AH99"/>
    <mergeCell ref="AI98:AJ98"/>
    <mergeCell ref="AK98:AN99"/>
    <mergeCell ref="Y13:AT14"/>
    <mergeCell ref="P110:P111"/>
    <mergeCell ref="AC138:AM138"/>
    <mergeCell ref="AO138:AS138"/>
    <mergeCell ref="AU138:BH138"/>
    <mergeCell ref="Y139:AB139"/>
    <mergeCell ref="AC139:BH140"/>
    <mergeCell ref="AQ106:AV107"/>
    <mergeCell ref="AW106:BB107"/>
    <mergeCell ref="BC106:BH107"/>
    <mergeCell ref="P108:P109"/>
    <mergeCell ref="AC109:BH110"/>
    <mergeCell ref="P106:P107"/>
    <mergeCell ref="Q106:V107"/>
    <mergeCell ref="W106:W107"/>
    <mergeCell ref="X106:X107"/>
    <mergeCell ref="Y106:AD107"/>
    <mergeCell ref="AE106:AH107"/>
    <mergeCell ref="AI106:AJ106"/>
    <mergeCell ref="AK106:AN107"/>
    <mergeCell ref="AO106:AP106"/>
    <mergeCell ref="Y108:AF108"/>
    <mergeCell ref="AJ108:AO108"/>
    <mergeCell ref="AT108:BH108"/>
  </mergeCells>
  <dataValidations disablePrompts="1" count="2">
    <dataValidation type="list" allowBlank="1" showInputMessage="1" showErrorMessage="1" sqref="Q11:W11" xr:uid="{2A8C12F2-5067-4D7B-A261-4812B693AC07}">
      <formula1>INDIRECT($P$11)</formula1>
    </dataValidation>
    <dataValidation type="list" allowBlank="1" showInputMessage="1" showErrorMessage="1" sqref="P11" xr:uid="{8F8AC26F-C006-4E20-BA35-F2C869223DBC}">
      <formula1>MATERIALE</formula1>
    </dataValidation>
  </dataValidations>
  <printOptions horizontalCentered="1"/>
  <pageMargins left="0" right="0" top="0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CE50C95A-CE51-4496-AB20-8012ECE80B85}">
          <x14:formula1>
            <xm:f>DATI!$C$16:$C$18</xm:f>
          </x14:formula1>
          <xm:sqref>W15</xm:sqref>
        </x14:dataValidation>
        <x14:dataValidation type="list" allowBlank="1" showInputMessage="1" showErrorMessage="1" xr:uid="{1A3D5620-C3B5-46EA-9C89-02D5B720CDF6}">
          <x14:formula1>
            <xm:f>DATI!$B$18:$B$20</xm:f>
          </x14:formula1>
          <xm:sqref>P14</xm:sqref>
        </x14:dataValidation>
        <x14:dataValidation type="list" allowBlank="1" showInputMessage="1" showErrorMessage="1" xr:uid="{EE3B3269-7F37-4016-9590-CE42B55116D6}">
          <x14:formula1>
            <xm:f>DATI!$B$16:$B$17</xm:f>
          </x14:formula1>
          <xm:sqref>P15 P13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pageSetUpPr fitToPage="1"/>
  </sheetPr>
  <dimension ref="A1:BT40"/>
  <sheetViews>
    <sheetView showGridLines="0" showRowColHeaders="0" view="pageBreakPreview" topLeftCell="A61" zoomScaleNormal="100" zoomScaleSheetLayoutView="100" workbookViewId="0">
      <selection activeCell="K120" sqref="K120"/>
    </sheetView>
  </sheetViews>
  <sheetFormatPr defaultColWidth="9.109375" defaultRowHeight="13.2"/>
  <cols>
    <col min="1" max="5" width="25.6640625" style="52" customWidth="1"/>
    <col min="6" max="6" width="28.6640625" style="52" customWidth="1"/>
    <col min="7" max="8" width="22.6640625" style="52" customWidth="1"/>
    <col min="9" max="10" width="25.6640625" style="52" customWidth="1"/>
    <col min="11" max="11" width="21.33203125" style="52" customWidth="1"/>
    <col min="12" max="12" width="40.6640625" style="52" customWidth="1"/>
    <col min="13" max="15" width="41.6640625" style="52" customWidth="1"/>
    <col min="16" max="17" width="80.6640625" style="52" customWidth="1"/>
    <col min="18" max="19" width="88.6640625" style="52" customWidth="1"/>
    <col min="20" max="64" width="3.6640625" style="52" customWidth="1"/>
    <col min="65" max="75" width="2.6640625" style="52" customWidth="1"/>
    <col min="76" max="16384" width="9.109375" style="52"/>
  </cols>
  <sheetData>
    <row r="1" spans="1:68" ht="18" customHeight="1">
      <c r="A1" s="49" t="s">
        <v>43</v>
      </c>
      <c r="B1" s="50" t="s">
        <v>51</v>
      </c>
      <c r="C1" s="50" t="s">
        <v>50</v>
      </c>
      <c r="D1" s="585">
        <f>SUM(MODULO!AR9*MODULO!AV9*MODULO!AZ9)/1000000000*640</f>
        <v>0</v>
      </c>
      <c r="E1" s="576" t="str">
        <f>IF(AND(MODULO!$AP9="TOT. C. SS PUSH ACTRO",$D1&lt;=20,MODULO!$BD9=40),MODULO!$AN9,"")</f>
        <v/>
      </c>
      <c r="F1" s="578" t="str">
        <f>IF(AND(MODULO!$AP9="TOT. C. SS PUSH ACTRO",$D1&gt;=20,MODULO!$BD9=40,MODULO!AR9&gt;=350),MODULO!$AN9,"")</f>
        <v/>
      </c>
      <c r="G1" s="586" t="str">
        <f>IF(AND(MODULO!$AP9="TOT. C. SS PUSH ACTRO",MODULO!$BD9=70),MODULO!$AN9,"")</f>
        <v/>
      </c>
      <c r="H1" s="576" t="str">
        <f>IF(OR(AND(MODULO!$AP9="TOT. AMM. 5 REG. PUSH",MODULO!$BD9=40,MODULO!AR9&lt;=320),AND(MODULO!$AP9="TOT. AMM. PUSH",MODULO!$BD9=40,MODULO!AR9&lt;=320)),MODULO!$AN9,"")</f>
        <v/>
      </c>
      <c r="I1" s="578" t="str">
        <f>IF(OR(AND(MODULO!$AP9="TOT. AMM. 5 REG. PUSH",MODULO!$BD9=40,MODULO!AR9&gt;=350),AND(MODULO!$AP9="TOT. AMM. PUSH",MODULO!$BD9=40,MODULO!AR9&gt;=350)),MODULO!$AN9,"")</f>
        <v/>
      </c>
      <c r="J1" s="580" t="str">
        <f>IF(OR(AND(MODULO!$AP9="TOT. AMM. 5 REG. PUSH",MODULO!$BD9=70),AND(MODULO!$AP9="TOT. AMM. PUSH",MODULO!$BD9=70)),MODULO!$AN9,"")</f>
        <v/>
      </c>
      <c r="K1" s="575">
        <f>IF(OR(AND(DATI!E1&lt;&gt;"",MODULO!AV9&gt;600),AND(DATI!F1&lt;&gt;"",MODULO!AV9&gt;600),AND(DATI!G1&lt;&gt;"",MODULO!AV9&gt;600)),1,0)</f>
        <v>0</v>
      </c>
      <c r="L1" s="575">
        <f>IF(OR(AND(DATI!H1&lt;&gt;"",MODULO!AV9&gt;600),AND(DATI!I1&lt;&gt;"",MODULO!AV9&gt;600),AND(DATI!J1&lt;&gt;"",MODULO!AV9&gt;600)),1,0)</f>
        <v>0</v>
      </c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4"/>
      <c r="BE1" s="54"/>
      <c r="BF1" s="54"/>
      <c r="BG1" s="54"/>
      <c r="BH1" s="54"/>
      <c r="BI1" s="54"/>
      <c r="BJ1" s="54"/>
    </row>
    <row r="2" spans="1:68" ht="18" customHeight="1" thickBot="1">
      <c r="A2" s="55" t="s">
        <v>51</v>
      </c>
      <c r="B2" s="221" t="s">
        <v>144</v>
      </c>
      <c r="C2" s="51" t="s">
        <v>30</v>
      </c>
      <c r="D2" s="585"/>
      <c r="E2" s="577"/>
      <c r="F2" s="579"/>
      <c r="G2" s="587"/>
      <c r="H2" s="577"/>
      <c r="I2" s="579"/>
      <c r="J2" s="581"/>
      <c r="K2" s="575"/>
      <c r="L2" s="575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4"/>
      <c r="BE2" s="54"/>
      <c r="BF2" s="54"/>
      <c r="BG2" s="54"/>
      <c r="BH2" s="54"/>
      <c r="BI2" s="54"/>
      <c r="BJ2" s="54"/>
    </row>
    <row r="3" spans="1:68" ht="18" customHeight="1">
      <c r="A3" s="55" t="s">
        <v>50</v>
      </c>
      <c r="B3" s="51" t="s">
        <v>143</v>
      </c>
      <c r="C3" s="51" t="s">
        <v>49</v>
      </c>
      <c r="D3" s="585">
        <f>SUM(MODULO!AR11*MODULO!AV11*MODULO!AZ11)/1000000000*640</f>
        <v>0</v>
      </c>
      <c r="E3" s="576" t="str">
        <f>IF(AND(MODULO!$AP11="TOT. C. SS PUSH ACTRO",$D3&lt;=20,MODULO!$BD11=40),MODULO!$AN11,"")</f>
        <v/>
      </c>
      <c r="F3" s="578" t="str">
        <f>IF(AND(MODULO!$AP11="TOT. C. SS PUSH ACTRO",$D3&gt;=20,MODULO!$BD11=40,MODULO!AR11&gt;=350),MODULO!$AN11,"")</f>
        <v/>
      </c>
      <c r="G3" s="587" t="str">
        <f>IF(AND(MODULO!$AP11="TOT. C. SS PUSH ACTRO",MODULO!$BD11=70),MODULO!$AN11,"")</f>
        <v/>
      </c>
      <c r="H3" s="576" t="str">
        <f>IF(OR(AND(MODULO!$AP11="TOT. AMM. 5 REG. PUSH",MODULO!$BD11=40,MODULO!AR11&lt;=320),AND(MODULO!$AP11="TOT. AMM. PUSH",MODULO!$BD11=40,MODULO!AR11&lt;=320)),MODULO!$AN11,"")</f>
        <v/>
      </c>
      <c r="I3" s="578" t="str">
        <f>IF(OR(AND(MODULO!$AP11="TOT. AMM. 5 REG. PUSH",MODULO!$BD11=40,MODULO!AR11&gt;=350),AND(MODULO!$AP11="TOT. AMM. PUSH",MODULO!$BD11=40,MODULO!AR11&gt;=350)),MODULO!$AN11,"")</f>
        <v/>
      </c>
      <c r="J3" s="580" t="str">
        <f>IF(OR(AND(MODULO!$AP11="TOT. AMM. 5 REG. PUSH",MODULO!$BD11=70),AND(MODULO!$AP11="TOT. AMM. PUSH",MODULO!$BD11=70)),MODULO!$AN11,"")</f>
        <v/>
      </c>
      <c r="K3" s="575">
        <f>IF(OR(AND(DATI!E3&lt;&gt;"",MODULO!AV11&gt;600),AND(DATI!F3&lt;&gt;"",MODULO!AV11&gt;600),AND(DATI!G3&lt;&gt;"",MODULO!AV11&gt;600)),1,0)</f>
        <v>0</v>
      </c>
      <c r="L3" s="575">
        <f>IF(OR(AND(DATI!H3&lt;&gt;"",MODULO!AV11&gt;600),AND(DATI!I3&lt;&gt;"",MODULO!AV11&gt;600),AND(DATI!J3&lt;&gt;"",MODULO!AV11&gt;600)),1,0)</f>
        <v>0</v>
      </c>
      <c r="AS3" s="583"/>
      <c r="AT3" s="583"/>
      <c r="AU3" s="583"/>
      <c r="AV3" s="583"/>
      <c r="AW3" s="583"/>
      <c r="AX3" s="583"/>
      <c r="AY3" s="583"/>
      <c r="AZ3" s="583"/>
      <c r="BA3" s="583"/>
      <c r="BB3" s="583"/>
      <c r="BC3" s="583"/>
      <c r="BD3" s="54"/>
      <c r="BE3" s="54"/>
      <c r="BF3" s="54"/>
      <c r="BG3" s="54"/>
      <c r="BH3" s="54"/>
      <c r="BI3" s="54"/>
      <c r="BJ3" s="54"/>
    </row>
    <row r="4" spans="1:68" ht="18" customHeight="1" thickBot="1">
      <c r="A4" s="55"/>
      <c r="B4" s="51" t="s">
        <v>110</v>
      </c>
      <c r="C4" s="56" t="s">
        <v>142</v>
      </c>
      <c r="D4" s="585"/>
      <c r="E4" s="577"/>
      <c r="F4" s="579"/>
      <c r="G4" s="587"/>
      <c r="H4" s="577"/>
      <c r="I4" s="579"/>
      <c r="J4" s="581"/>
      <c r="K4" s="575"/>
      <c r="L4" s="575"/>
      <c r="AS4" s="583"/>
      <c r="AT4" s="583"/>
      <c r="AU4" s="583"/>
      <c r="AV4" s="583"/>
      <c r="AW4" s="583"/>
      <c r="AX4" s="583"/>
      <c r="AY4" s="583"/>
      <c r="AZ4" s="583"/>
      <c r="BA4" s="583"/>
      <c r="BB4" s="583"/>
      <c r="BC4" s="583"/>
      <c r="BD4" s="54"/>
      <c r="BE4" s="54"/>
      <c r="BF4" s="54"/>
      <c r="BG4" s="54"/>
      <c r="BH4" s="54"/>
      <c r="BI4" s="54"/>
      <c r="BJ4" s="54"/>
    </row>
    <row r="5" spans="1:68" ht="18" customHeight="1">
      <c r="B5" s="51"/>
      <c r="C5" s="51" t="s">
        <v>141</v>
      </c>
      <c r="D5" s="585">
        <f>SUM(MODULO!AR13*MODULO!AV13*MODULO!AZ13)/1000000000*640</f>
        <v>0</v>
      </c>
      <c r="E5" s="576" t="str">
        <f>IF(AND(MODULO!$AP13="TOT. C. SS PUSH ACTRO",$D5&lt;=20,MODULO!$BD13=40),MODULO!$AN13,"")</f>
        <v/>
      </c>
      <c r="F5" s="578" t="str">
        <f>IF(AND(MODULO!$AP13="TOT. C. SS PUSH ACTRO",$D5&gt;=20,MODULO!$BD13=40,MODULO!AR13&gt;=350),MODULO!$AN13,"")</f>
        <v/>
      </c>
      <c r="G5" s="587" t="str">
        <f>IF(AND(MODULO!$AP13="TOT. C. SS PUSH ACTRO",MODULO!$BD13=70),MODULO!$AN13,"")</f>
        <v/>
      </c>
      <c r="H5" s="576" t="str">
        <f>IF(OR(AND(MODULO!$AP13="TOT. AMM. 5 REG. PUSH",MODULO!$BD13=40,MODULO!AR13&lt;=320),AND(MODULO!$AP13="TOT. AMM. PUSH",MODULO!$BD13=40,MODULO!AR13&lt;=320)),MODULO!$AN13,"")</f>
        <v/>
      </c>
      <c r="I5" s="578" t="str">
        <f>IF(OR(AND(MODULO!$AP13="TOT. AMM. 5 REG. PUSH",MODULO!$BD13=40,MODULO!AR13&gt;=350),AND(MODULO!$AP13="TOT. AMM. PUSH",MODULO!$BD13=40,MODULO!AR13&gt;=350)),MODULO!$AN13,"")</f>
        <v/>
      </c>
      <c r="J5" s="580" t="str">
        <f>IF(OR(AND(MODULO!$AP13="TOT. AMM. 5 REG. PUSH",MODULO!$BD13=70),AND(MODULO!$AP13="TOT. AMM. PUSH",MODULO!$BD13=70)),MODULO!$AN13,"")</f>
        <v/>
      </c>
      <c r="K5" s="575">
        <f>IF(OR(AND(DATI!E5&lt;&gt;"",MODULO!AV13&gt;600),AND(DATI!F5&lt;&gt;"",MODULO!AV13&gt;600),AND(DATI!G5&lt;&gt;"",MODULO!AV13&gt;600)),1,0)</f>
        <v>0</v>
      </c>
      <c r="L5" s="575">
        <f>IF(OR(AND(DATI!H5&lt;&gt;"",MODULO!AV13&gt;600),AND(DATI!I5&lt;&gt;"",MODULO!AV13&gt;600),AND(DATI!J5&lt;&gt;"",MODULO!AV13&gt;600)),1,0)</f>
        <v>0</v>
      </c>
      <c r="AS5" s="583"/>
      <c r="AT5" s="583"/>
      <c r="AU5" s="583"/>
      <c r="AV5" s="583"/>
      <c r="AW5" s="583"/>
      <c r="AX5" s="583"/>
      <c r="AY5" s="583"/>
      <c r="AZ5" s="583"/>
      <c r="BA5" s="583"/>
      <c r="BB5" s="583"/>
      <c r="BC5" s="583"/>
      <c r="BD5" s="54"/>
      <c r="BE5" s="54"/>
      <c r="BF5" s="54"/>
      <c r="BG5" s="54"/>
      <c r="BH5" s="54"/>
      <c r="BI5" s="54"/>
      <c r="BJ5" s="54"/>
    </row>
    <row r="6" spans="1:68" ht="18" customHeight="1" thickBot="1">
      <c r="B6" s="51"/>
      <c r="C6" s="51"/>
      <c r="D6" s="585"/>
      <c r="E6" s="577"/>
      <c r="F6" s="579"/>
      <c r="G6" s="587"/>
      <c r="H6" s="577"/>
      <c r="I6" s="579"/>
      <c r="J6" s="581"/>
      <c r="K6" s="575"/>
      <c r="L6" s="575"/>
      <c r="AS6" s="583"/>
      <c r="AT6" s="583"/>
      <c r="AU6" s="583"/>
      <c r="AV6" s="583"/>
      <c r="AW6" s="583"/>
      <c r="AX6" s="583"/>
      <c r="AY6" s="583"/>
      <c r="AZ6" s="583"/>
      <c r="BA6" s="583"/>
      <c r="BB6" s="583"/>
      <c r="BC6" s="583"/>
      <c r="BD6" s="54"/>
      <c r="BE6" s="54"/>
      <c r="BF6" s="54"/>
      <c r="BG6" s="54"/>
      <c r="BH6" s="54"/>
      <c r="BI6" s="54"/>
      <c r="BJ6" s="54"/>
    </row>
    <row r="7" spans="1:68" ht="18" customHeight="1">
      <c r="B7" s="51"/>
      <c r="C7" s="51"/>
      <c r="D7" s="585">
        <f>SUM(MODULO!AR15*MODULO!AV15*MODULO!AZ15)/1000000000*640</f>
        <v>0</v>
      </c>
      <c r="E7" s="576" t="str">
        <f>IF(AND(MODULO!$AP15="TOT. C. SS PUSH ACTRO",$D7&lt;=20,MODULO!$BD15=40),MODULO!$AN15,"")</f>
        <v/>
      </c>
      <c r="F7" s="578" t="str">
        <f>IF(AND(MODULO!$AP15="TOT. C. SS PUSH ACTRO",$D7&gt;=20,MODULO!$BD15=40,MODULO!AR15&gt;=350),MODULO!$AN15,"")</f>
        <v/>
      </c>
      <c r="G7" s="587" t="str">
        <f>IF(AND(MODULO!$AP15="TOT. C. SS PUSH ACTRO",MODULO!$BD15=70),MODULO!$AN15,"")</f>
        <v/>
      </c>
      <c r="H7" s="576" t="str">
        <f>IF(OR(AND(MODULO!$AP15="TOT. AMM. 5 REG. PUSH",MODULO!$BD15=40,MODULO!AR15&lt;=320),AND(MODULO!$AP15="TOT. AMM. PUSH",MODULO!$BD15=40,MODULO!AR15&lt;=320)),MODULO!$AN15,"")</f>
        <v/>
      </c>
      <c r="I7" s="578" t="str">
        <f>IF(OR(AND(MODULO!$AP15="TOT. AMM. 5 REG. PUSH",MODULO!$BD15=40,MODULO!AR15&gt;=350),AND(MODULO!$AP15="TOT. AMM. PUSH",MODULO!$BD15=40,MODULO!AR15&gt;=350)),MODULO!$AN15,"")</f>
        <v/>
      </c>
      <c r="J7" s="580" t="str">
        <f>IF(OR(AND(MODULO!$AP15="TOT. AMM. 5 REG. PUSH",MODULO!$BD15=70),AND(MODULO!$AP15="TOT. AMM. PUSH",MODULO!$BD15=70)),MODULO!$AN15,"")</f>
        <v/>
      </c>
      <c r="K7" s="575">
        <f>IF(OR(AND(DATI!E7&lt;&gt;"",MODULO!AV15&gt;600),AND(DATI!F7&lt;&gt;"",MODULO!AV15&gt;600),AND(DATI!G7&lt;&gt;"",MODULO!AV15&gt;600)),1,0)</f>
        <v>0</v>
      </c>
      <c r="L7" s="575">
        <f>IF(OR(AND(DATI!H7&lt;&gt;"",MODULO!AV15&gt;600),AND(DATI!I7&lt;&gt;"",MODULO!AV15&gt;600),AND(DATI!J7&lt;&gt;"",MODULO!AV15&gt;600)),1,0)</f>
        <v>0</v>
      </c>
      <c r="AS7" s="583"/>
      <c r="AT7" s="583"/>
      <c r="AU7" s="583"/>
      <c r="AV7" s="583"/>
      <c r="AW7" s="583"/>
      <c r="AX7" s="583"/>
      <c r="AY7" s="583"/>
      <c r="AZ7" s="583"/>
      <c r="BA7" s="583"/>
      <c r="BB7" s="583"/>
      <c r="BC7" s="583"/>
      <c r="BD7" s="54"/>
      <c r="BE7" s="54"/>
      <c r="BF7" s="54"/>
      <c r="BG7" s="54"/>
      <c r="BH7" s="54"/>
      <c r="BI7" s="54"/>
      <c r="BJ7" s="54"/>
    </row>
    <row r="8" spans="1:68" s="49" customFormat="1" ht="18" customHeight="1" thickBot="1">
      <c r="A8" s="220"/>
      <c r="B8" s="221"/>
      <c r="C8" s="221"/>
      <c r="D8" s="585"/>
      <c r="E8" s="577"/>
      <c r="F8" s="579"/>
      <c r="G8" s="587"/>
      <c r="H8" s="577"/>
      <c r="I8" s="579"/>
      <c r="J8" s="581"/>
      <c r="K8" s="575"/>
      <c r="L8" s="575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83"/>
      <c r="AT8" s="583"/>
      <c r="AU8" s="583"/>
      <c r="AV8" s="583"/>
      <c r="AW8" s="583"/>
      <c r="AX8" s="583"/>
      <c r="AY8" s="583"/>
      <c r="AZ8" s="583"/>
      <c r="BA8" s="583"/>
      <c r="BB8" s="583"/>
      <c r="BC8" s="583"/>
      <c r="BD8" s="54"/>
      <c r="BE8" s="54"/>
      <c r="BF8" s="54"/>
      <c r="BG8" s="54"/>
      <c r="BH8" s="54"/>
      <c r="BI8" s="54"/>
      <c r="BJ8" s="54"/>
    </row>
    <row r="9" spans="1:68" s="56" customFormat="1" ht="18" customHeight="1">
      <c r="A9" s="264"/>
      <c r="B9" s="221"/>
      <c r="C9" s="221"/>
      <c r="D9" s="585">
        <f>SUM(MODULO!AR17*MODULO!AV17*MODULO!AZ17)/1000000000*640</f>
        <v>0</v>
      </c>
      <c r="E9" s="576" t="str">
        <f>IF(AND(MODULO!$AP17="TOT. C. SS PUSH ACTRO",$D9&lt;=20,MODULO!$BD17=40),MODULO!$AN17,"")</f>
        <v/>
      </c>
      <c r="F9" s="578" t="str">
        <f>IF(AND(MODULO!$AP17="TOT. C. SS PUSH ACTRO",$D9&gt;=20,MODULO!$BD17=40,MODULO!AR17&gt;=350),MODULO!$AN17,"")</f>
        <v/>
      </c>
      <c r="G9" s="587" t="str">
        <f>IF(AND(MODULO!$AP17="TOT. C. SS PUSH ACTRO",MODULO!$BD17=70),MODULO!$AN17,"")</f>
        <v/>
      </c>
      <c r="H9" s="576" t="str">
        <f>IF(OR(AND(MODULO!$AP17="TOT. AMM. 5 REG. PUSH",MODULO!$BD17=40,MODULO!AR17&lt;=320),AND(MODULO!$AP17="TOT. AMM. PUSH",MODULO!$BD17=40,MODULO!AR17&lt;=320)),MODULO!$AN17,"")</f>
        <v/>
      </c>
      <c r="I9" s="578" t="str">
        <f>IF(OR(AND(MODULO!$AP17="TOT. AMM. 5 REG. PUSH",MODULO!$BD17=40,MODULO!AR17&gt;=350),AND(MODULO!$AP17="TOT. AMM. PUSH",MODULO!$BD17=40,MODULO!AR17&gt;=350)),MODULO!$AN17,"")</f>
        <v/>
      </c>
      <c r="J9" s="580" t="str">
        <f>IF(OR(AND(MODULO!$AP17="TOT. AMM. 5 REG. PUSH",MODULO!$BD17=70),AND(MODULO!$AP17="TOT. AMM. PUSH",MODULO!$BD17=70)),MODULO!$AN17,"")</f>
        <v/>
      </c>
      <c r="K9" s="575">
        <f>IF(OR(AND(DATI!E9&lt;&gt;"",MODULO!AV17&gt;600),AND(DATI!F9&lt;&gt;"",MODULO!AV17&gt;600),AND(DATI!G9&lt;&gt;"",MODULO!AV17&gt;600)),1,0)</f>
        <v>0</v>
      </c>
      <c r="L9" s="575">
        <f>IF(OR(AND(DATI!H9&lt;&gt;"",MODULO!AV17&gt;600),AND(DATI!I9&lt;&gt;"",MODULO!AV17&gt;600),AND(DATI!J9&lt;&gt;"",MODULO!AV17&gt;600)),1,0)</f>
        <v>0</v>
      </c>
      <c r="M9" s="59"/>
      <c r="N9" s="60"/>
      <c r="O9" s="60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49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84"/>
      <c r="AT9" s="583"/>
      <c r="AU9" s="583"/>
      <c r="AV9" s="583"/>
      <c r="AW9" s="583"/>
      <c r="AX9" s="583"/>
      <c r="AY9" s="583"/>
      <c r="AZ9" s="583"/>
      <c r="BA9" s="583"/>
      <c r="BB9" s="583"/>
      <c r="BC9" s="583"/>
      <c r="BD9" s="54"/>
      <c r="BE9" s="54"/>
      <c r="BF9" s="54"/>
      <c r="BG9" s="54"/>
      <c r="BH9" s="54"/>
      <c r="BI9" s="54"/>
      <c r="BJ9" s="54"/>
      <c r="BK9" s="58"/>
      <c r="BL9" s="58"/>
      <c r="BM9" s="58"/>
      <c r="BN9" s="58"/>
      <c r="BO9" s="58"/>
      <c r="BP9" s="58"/>
    </row>
    <row r="10" spans="1:68" s="56" customFormat="1" ht="18" customHeight="1" thickBot="1">
      <c r="A10" s="264"/>
      <c r="B10" s="221"/>
      <c r="C10" s="221"/>
      <c r="D10" s="585"/>
      <c r="E10" s="577"/>
      <c r="F10" s="579"/>
      <c r="G10" s="587"/>
      <c r="H10" s="577"/>
      <c r="I10" s="579"/>
      <c r="J10" s="581"/>
      <c r="K10" s="575"/>
      <c r="L10" s="575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8"/>
      <c r="BL10" s="58"/>
      <c r="BM10" s="58"/>
      <c r="BN10" s="58"/>
      <c r="BO10" s="58"/>
      <c r="BP10" s="58"/>
    </row>
    <row r="11" spans="1:68" s="56" customFormat="1" ht="18" customHeight="1">
      <c r="A11" s="56" t="s">
        <v>136</v>
      </c>
      <c r="B11" s="57">
        <v>15</v>
      </c>
      <c r="C11" s="57">
        <v>14</v>
      </c>
      <c r="D11" s="585">
        <f>SUM(MODULO!AR19*MODULO!AV19*MODULO!AZ19)/1000000000*640</f>
        <v>0</v>
      </c>
      <c r="E11" s="576" t="str">
        <f>IF(AND(MODULO!$AP19="TOT. C. SS PUSH ACTRO",$D11&lt;=20,MODULO!$BD19=40),MODULO!$AN19,"")</f>
        <v/>
      </c>
      <c r="F11" s="578" t="str">
        <f>IF(AND(MODULO!$AP19="TOT. C. SS PUSH ACTRO",$D11&gt;=20,MODULO!$BD19=40,MODULO!AR19&gt;=350),MODULO!$AN19,"")</f>
        <v/>
      </c>
      <c r="G11" s="587" t="str">
        <f>IF(AND(MODULO!$AP19="TOT. C. SS PUSH ACTRO",MODULO!$BD19=70),MODULO!$AN19,"")</f>
        <v/>
      </c>
      <c r="H11" s="576" t="str">
        <f>IF(OR(AND(MODULO!$AP19="TOT. AMM. 5 REG. PUSH",MODULO!$BD19=40,MODULO!AR19&lt;=320),AND(MODULO!$AP19="TOT. AMM. PUSH",MODULO!$BD19=40,MODULO!AR19&lt;=320)),MODULO!$AN19,"")</f>
        <v/>
      </c>
      <c r="I11" s="578" t="str">
        <f>IF(OR(AND(MODULO!$AP19="TOT. AMM. 5 REG. PUSH",MODULO!$BD19=40,MODULO!AR19&gt;=350),AND(MODULO!$AP19="TOT. AMM. PUSH",MODULO!$BD19=40,MODULO!AR19&gt;=350)),MODULO!$AN19,"")</f>
        <v/>
      </c>
      <c r="J11" s="580" t="str">
        <f>IF(OR(AND(MODULO!$AP19="TOT. AMM. 5 REG. PUSH",MODULO!$BD19=70),AND(MODULO!$AP19="TOT. AMM. PUSH",MODULO!$BD19=70)),MODULO!$AN19,"")</f>
        <v/>
      </c>
      <c r="K11" s="575">
        <f>IF(OR(AND(DATI!E11&lt;&gt;"",MODULO!AV19&gt;600),AND(DATI!F11&lt;&gt;"",MODULO!AV19&gt;600),AND(DATI!G11&lt;&gt;"",MODULO!AV19&gt;600)),1,0)</f>
        <v>0</v>
      </c>
      <c r="L11" s="575">
        <f>IF(OR(AND(DATI!H11&lt;&gt;"",MODULO!AV19&gt;600),AND(DATI!I11&lt;&gt;"",MODULO!AV19&gt;600),AND(DATI!J11&lt;&gt;"",MODULO!AV19&gt;600)),1,0)</f>
        <v>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62"/>
      <c r="BL11" s="62"/>
      <c r="BM11" s="62"/>
      <c r="BN11" s="62"/>
      <c r="BO11" s="62"/>
      <c r="BP11" s="62"/>
    </row>
    <row r="12" spans="1:68" s="56" customFormat="1" ht="18" customHeight="1" thickBot="1">
      <c r="A12" s="56" t="s">
        <v>137</v>
      </c>
      <c r="B12" s="57">
        <v>6</v>
      </c>
      <c r="C12" s="57">
        <v>8</v>
      </c>
      <c r="D12" s="585"/>
      <c r="E12" s="577"/>
      <c r="F12" s="579"/>
      <c r="G12" s="587"/>
      <c r="H12" s="577"/>
      <c r="I12" s="579"/>
      <c r="J12" s="581"/>
      <c r="K12" s="575"/>
      <c r="L12" s="575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62"/>
      <c r="BL12" s="62"/>
      <c r="BM12" s="62"/>
      <c r="BN12" s="62"/>
      <c r="BO12" s="62"/>
      <c r="BP12" s="62"/>
    </row>
    <row r="13" spans="1:68" ht="18" customHeight="1">
      <c r="A13" s="56" t="s">
        <v>138</v>
      </c>
      <c r="B13" s="57">
        <v>5</v>
      </c>
      <c r="C13" s="56"/>
      <c r="D13" s="585">
        <f>SUM(MODULO!AR21*MODULO!AV21*MODULO!AZ21)/1000000000*640</f>
        <v>0</v>
      </c>
      <c r="E13" s="576" t="str">
        <f>IF(AND(MODULO!$AP21="TOT. C. SS PUSH ACTRO",$D13&lt;=20,MODULO!$BD21=40),MODULO!$AN21,"")</f>
        <v/>
      </c>
      <c r="F13" s="578" t="str">
        <f>IF(AND(MODULO!$AP21="TOT. C. SS PUSH ACTRO",$D13&gt;=20,MODULO!$BD21=40,MODULO!AR21&gt;=350),MODULO!$AN21,"")</f>
        <v/>
      </c>
      <c r="G13" s="587" t="str">
        <f>IF(AND(MODULO!$AP21="TOT. C. SS PUSH ACTRO",MODULO!$BD21=70),MODULO!$AN21,"")</f>
        <v/>
      </c>
      <c r="H13" s="576" t="str">
        <f>IF(OR(AND(MODULO!$AP21="TOT. AMM. 5 REG. PUSH",MODULO!$BD21=40,MODULO!AR21&lt;=320),AND(MODULO!$AP21="TOT. AMM. PUSH",MODULO!$BD21=40,MODULO!AR21&lt;=320)),MODULO!$AN21,"")</f>
        <v/>
      </c>
      <c r="I13" s="578" t="str">
        <f>IF(OR(AND(MODULO!$AP21="TOT. AMM. 5 REG. PUSH",MODULO!$BD21=40,MODULO!AR21&gt;=350),AND(MODULO!$AP21="TOT. AMM. PUSH",MODULO!$BD21=40,MODULO!AR21&gt;=350)),MODULO!$AN21,"")</f>
        <v/>
      </c>
      <c r="J13" s="580" t="str">
        <f>IF(OR(AND(MODULO!$AP21="TOT. AMM. 5 REG. PUSH",MODULO!$BD21=70),AND(MODULO!$AP21="TOT. AMM. PUSH",MODULO!$BD21=70)),MODULO!$AN21,"")</f>
        <v/>
      </c>
      <c r="K13" s="575">
        <f>IF(OR(AND(DATI!E13&lt;&gt;"",MODULO!AV21&gt;600),AND(DATI!F13&lt;&gt;"",MODULO!AV21&gt;600),AND(DATI!G13&lt;&gt;"",MODULO!AV21&gt;600)),1,0)</f>
        <v>0</v>
      </c>
      <c r="L13" s="575">
        <f>IF(OR(AND(DATI!H13&lt;&gt;"",MODULO!AV21&gt;600),AND(DATI!I13&lt;&gt;"",MODULO!AV21&gt;600),AND(DATI!J13&lt;&gt;"",MODULO!AV21&gt;600)),1,0)</f>
        <v>0</v>
      </c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</row>
    <row r="14" spans="1:68" s="56" customFormat="1" ht="18" customHeight="1" thickBot="1">
      <c r="A14" s="56" t="s">
        <v>139</v>
      </c>
      <c r="B14" s="57"/>
      <c r="D14" s="585"/>
      <c r="E14" s="577"/>
      <c r="F14" s="579"/>
      <c r="G14" s="587"/>
      <c r="H14" s="577"/>
      <c r="I14" s="579"/>
      <c r="J14" s="581"/>
      <c r="K14" s="575"/>
      <c r="L14" s="575"/>
      <c r="M14" s="52" t="e">
        <f>INDEX(DATI!$L$21:$O$21,MATCH(MODULO!$U$17,DATI!$L$22:$O$22,0))</f>
        <v>#N/A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</row>
    <row r="15" spans="1:68" s="56" customFormat="1" ht="18" customHeight="1">
      <c r="B15" s="57"/>
      <c r="D15" s="585">
        <f>SUM(MODULO!AR23*MODULO!AV23*MODULO!AZ23)/1000000000*640</f>
        <v>0</v>
      </c>
      <c r="E15" s="576" t="str">
        <f>IF(AND(MODULO!$AP23="TOT. C. SS PUSH ACTRO",$D15&lt;=20,MODULO!$BD23=40),MODULO!$AN23,"")</f>
        <v/>
      </c>
      <c r="F15" s="578" t="str">
        <f>IF(AND(MODULO!$AP23="TOT. C. SS PUSH ACTRO",$D15&gt;=20,MODULO!$BD23=40,MODULO!AR23&gt;=350),MODULO!$AN23,"")</f>
        <v/>
      </c>
      <c r="G15" s="587" t="str">
        <f>IF(AND(MODULO!$AP23="TOT. C. SS PUSH ACTRO",MODULO!$BD23=70),MODULO!$AN23,"")</f>
        <v/>
      </c>
      <c r="H15" s="576" t="str">
        <f>IF(OR(AND(MODULO!$AP23="TOT. AMM. 5 REG. PUSH",MODULO!$BD23=40,MODULO!AR23&lt;=320),AND(MODULO!$AP23="TOT. AMM. PUSH",MODULO!$BD23=40,MODULO!AR23&lt;=320)),MODULO!$AN23,"")</f>
        <v/>
      </c>
      <c r="I15" s="578" t="str">
        <f>IF(OR(AND(MODULO!$AP23="TOT. AMM. 5 REG. PUSH",MODULO!$BD23=40,MODULO!AR23&gt;=350),AND(MODULO!$AP23="TOT. AMM. PUSH",MODULO!$BD23=40,MODULO!AR23&gt;=350)),MODULO!$AN23,"")</f>
        <v/>
      </c>
      <c r="J15" s="580" t="str">
        <f>IF(OR(AND(MODULO!$AP23="TOT. AMM. 5 REG. PUSH",MODULO!$BD23=70),AND(MODULO!$AP23="TOT. AMM. PUSH",MODULO!$BD23=70)),MODULO!$AN23,"")</f>
        <v/>
      </c>
      <c r="K15" s="575">
        <f>IF(OR(AND(DATI!E15&lt;&gt;"",MODULO!AV23&gt;600),AND(DATI!F15&lt;&gt;"",MODULO!AV23&gt;600),AND(DATI!G15&lt;&gt;"",MODULO!AV23&gt;600)),1,0)</f>
        <v>0</v>
      </c>
      <c r="L15" s="575">
        <f>IF(OR(AND(DATI!H15&lt;&gt;"",MODULO!AV23&gt;600),AND(DATI!I15&lt;&gt;"",MODULO!AV23&gt;600),AND(DATI!J15&lt;&gt;"",MODULO!AV23&gt;600)),1,0)</f>
        <v>0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</row>
    <row r="16" spans="1:68" s="56" customFormat="1" ht="18" customHeight="1" thickBot="1">
      <c r="A16" s="55" t="s">
        <v>53</v>
      </c>
      <c r="B16" s="55"/>
      <c r="C16" s="55"/>
      <c r="D16" s="585"/>
      <c r="E16" s="577"/>
      <c r="F16" s="579"/>
      <c r="G16" s="587"/>
      <c r="H16" s="577"/>
      <c r="I16" s="579"/>
      <c r="J16" s="581"/>
      <c r="K16" s="575"/>
      <c r="L16" s="575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</row>
    <row r="17" spans="1:72" ht="18" customHeight="1">
      <c r="A17" s="55" t="s">
        <v>31</v>
      </c>
      <c r="B17" s="55"/>
      <c r="C17" s="55" t="s">
        <v>53</v>
      </c>
      <c r="D17" s="585">
        <f>SUM(MODULO!AR25*MODULO!AV25*MODULO!AZ25)/1000000000*640</f>
        <v>0</v>
      </c>
      <c r="E17" s="576" t="str">
        <f>IF(AND(MODULO!$AP25="TOT. C. SS PUSH ACTRO",$D17&lt;=20,MODULO!$BD25=40),MODULO!$AN25,"")</f>
        <v/>
      </c>
      <c r="F17" s="578" t="str">
        <f>IF(AND(MODULO!$AP25="TOT. C. SS PUSH ACTRO",$D17&gt;=20,MODULO!$BD25=40,MODULO!AR25&gt;=350),MODULO!$AN25,"")</f>
        <v/>
      </c>
      <c r="G17" s="587" t="str">
        <f>IF(AND(MODULO!$AP25="TOT. C. SS PUSH ACTRO",MODULO!$BD25=70),MODULO!$AN25,"")</f>
        <v/>
      </c>
      <c r="H17" s="576" t="str">
        <f>IF(OR(AND(MODULO!$AP25="TOT. AMM. 5 REG. PUSH",MODULO!$BD25=40,MODULO!AR25&lt;=320),AND(MODULO!$AP25="TOT. AMM. PUSH",MODULO!$BD25=40,MODULO!AR25&lt;=320)),MODULO!$AN25,"")</f>
        <v/>
      </c>
      <c r="I17" s="578" t="str">
        <f>IF(OR(AND(MODULO!$AP25="TOT. AMM. 5 REG. PUSH",MODULO!$BD25=40,MODULO!AR25&gt;=350),AND(MODULO!$AP25="TOT. AMM. PUSH",MODULO!$BD25=40,MODULO!AR25&gt;=350)),MODULO!$AN25,"")</f>
        <v/>
      </c>
      <c r="J17" s="580" t="str">
        <f>IF(OR(AND(MODULO!$AP25="TOT. AMM. 5 REG. PUSH",MODULO!$BD25=70),AND(MODULO!$AP25="TOT. AMM. PUSH",MODULO!$BD25=70)),MODULO!$AN25,"")</f>
        <v/>
      </c>
      <c r="K17" s="575">
        <f>IF(OR(AND(DATI!E17&lt;&gt;"",MODULO!AV25&gt;600),AND(DATI!F17&lt;&gt;"",MODULO!AV25&gt;600),AND(DATI!G17&lt;&gt;"",MODULO!AV25&gt;600)),1,0)</f>
        <v>0</v>
      </c>
      <c r="L17" s="575">
        <f>IF(OR(AND(DATI!H17&lt;&gt;"",MODULO!AV25&gt;600),AND(DATI!I17&lt;&gt;"",MODULO!AV25&gt;600),AND(DATI!J17&lt;&gt;"",MODULO!AV25&gt;600)),1,0)</f>
        <v>0</v>
      </c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</row>
    <row r="18" spans="1:72" s="56" customFormat="1" ht="18" customHeight="1" thickBot="1">
      <c r="B18" s="60" t="s">
        <v>76</v>
      </c>
      <c r="C18" s="55" t="s">
        <v>73</v>
      </c>
      <c r="D18" s="585"/>
      <c r="E18" s="577"/>
      <c r="F18" s="579"/>
      <c r="G18" s="587"/>
      <c r="H18" s="577"/>
      <c r="I18" s="579"/>
      <c r="J18" s="581"/>
      <c r="K18" s="575"/>
      <c r="L18" s="575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582"/>
      <c r="AX18" s="582"/>
      <c r="AY18" s="582"/>
      <c r="AZ18" s="582"/>
      <c r="BA18" s="582"/>
      <c r="BB18" s="582"/>
      <c r="BC18" s="582"/>
      <c r="BD18" s="582"/>
      <c r="BE18" s="582"/>
      <c r="BF18" s="582"/>
      <c r="BG18" s="582"/>
      <c r="BH18" s="582"/>
      <c r="BI18" s="582"/>
      <c r="BJ18" s="582"/>
      <c r="BK18" s="582"/>
      <c r="BL18" s="582"/>
      <c r="BM18" s="582"/>
      <c r="BN18" s="582"/>
      <c r="BO18" s="582"/>
      <c r="BP18" s="582"/>
      <c r="BQ18" s="582"/>
      <c r="BR18" s="582"/>
      <c r="BS18" s="582"/>
      <c r="BT18" s="582"/>
    </row>
    <row r="19" spans="1:72" s="56" customFormat="1" ht="18" customHeight="1">
      <c r="B19" s="60" t="s">
        <v>75</v>
      </c>
      <c r="C19" s="55" t="s">
        <v>74</v>
      </c>
      <c r="D19" s="585">
        <f>SUM(MODULO!AR27*MODULO!AV27*MODULO!AZ27)/1000000000*640</f>
        <v>0</v>
      </c>
      <c r="E19" s="576" t="str">
        <f>IF(AND(MODULO!$AP27="TOT. C. SS PUSH ACTRO",$D19&lt;=20,MODULO!$BD27=40),MODULO!$AN27,"")</f>
        <v/>
      </c>
      <c r="F19" s="578" t="str">
        <f>IF(AND(MODULO!$AP27="TOT. C. SS PUSH ACTRO",$D19&gt;=20,MODULO!$BD27=40,MODULO!AR27&gt;=350),MODULO!$AN27,"")</f>
        <v/>
      </c>
      <c r="G19" s="587" t="str">
        <f>IF(AND(MODULO!$AP27="TOT. C. SS PUSH ACTRO",MODULO!$BD27=70),MODULO!$AN27,"")</f>
        <v/>
      </c>
      <c r="H19" s="576" t="str">
        <f>IF(OR(AND(MODULO!$AP27="TOT. AMM. 5 REG. PUSH",MODULO!$BD27=40,MODULO!AR27&lt;=320),AND(MODULO!$AP27="TOT. AMM. PUSH",MODULO!$BD27=40,MODULO!AR27&lt;=320)),MODULO!$AN27,"")</f>
        <v/>
      </c>
      <c r="I19" s="578" t="str">
        <f>IF(OR(AND(MODULO!$AP27="TOT. AMM. 5 REG. PUSH",MODULO!$BD27=40,MODULO!AR27&gt;=350),AND(MODULO!$AP27="TOT. AMM. PUSH",MODULO!$BD27=40,MODULO!AR27&gt;=350)),MODULO!$AN27,"")</f>
        <v/>
      </c>
      <c r="J19" s="580" t="str">
        <f>IF(OR(AND(MODULO!$AP27="TOT. AMM. 5 REG. PUSH",MODULO!$BD27=70),AND(MODULO!$AP27="TOT. AMM. PUSH",MODULO!$BD27=70)),MODULO!$AN27,"")</f>
        <v/>
      </c>
      <c r="K19" s="575">
        <f>IF(OR(AND(DATI!E19&lt;&gt;"",MODULO!AV27&gt;600),AND(DATI!F19&lt;&gt;"",MODULO!AV27&gt;600),AND(DATI!G19&lt;&gt;"",MODULO!AV27&gt;600)),1,0)</f>
        <v>0</v>
      </c>
      <c r="L19" s="575">
        <f>IF(OR(AND(DATI!H19&lt;&gt;"",MODULO!AV27&gt;600),AND(DATI!I19&lt;&gt;"",MODULO!AV27&gt;600),AND(DATI!J19&lt;&gt;"",MODULO!AV27&gt;600)),1,0)</f>
        <v>0</v>
      </c>
      <c r="M19" s="103"/>
      <c r="N19" s="103"/>
      <c r="O19" s="103"/>
      <c r="P19" s="52"/>
      <c r="Q19" s="52"/>
      <c r="R19" s="52"/>
      <c r="S19" s="52"/>
      <c r="T19" s="52"/>
      <c r="U19" s="52"/>
      <c r="V19" s="52"/>
      <c r="W19" s="52"/>
      <c r="X19" s="52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582"/>
      <c r="AX19" s="582"/>
      <c r="AY19" s="582"/>
      <c r="AZ19" s="582"/>
      <c r="BA19" s="582"/>
      <c r="BB19" s="582"/>
      <c r="BC19" s="582"/>
      <c r="BD19" s="582"/>
      <c r="BE19" s="582"/>
      <c r="BF19" s="582"/>
      <c r="BG19" s="582"/>
      <c r="BH19" s="582"/>
      <c r="BI19" s="582"/>
      <c r="BJ19" s="582"/>
      <c r="BK19" s="582"/>
      <c r="BL19" s="582"/>
      <c r="BM19" s="582"/>
      <c r="BN19" s="582"/>
      <c r="BO19" s="582"/>
      <c r="BP19" s="582"/>
      <c r="BQ19" s="582"/>
      <c r="BR19" s="582"/>
      <c r="BS19" s="582"/>
      <c r="BT19" s="582"/>
    </row>
    <row r="20" spans="1:72" s="56" customFormat="1" ht="18" customHeight="1">
      <c r="B20" s="60" t="s">
        <v>52</v>
      </c>
      <c r="C20" s="55" t="s">
        <v>31</v>
      </c>
      <c r="D20" s="585"/>
      <c r="E20" s="577"/>
      <c r="F20" s="579"/>
      <c r="G20" s="587"/>
      <c r="H20" s="577"/>
      <c r="I20" s="579"/>
      <c r="J20" s="581"/>
      <c r="K20" s="575"/>
      <c r="L20" s="575"/>
      <c r="M20" s="103"/>
      <c r="N20" s="103"/>
      <c r="O20" s="103"/>
      <c r="P20" s="52"/>
      <c r="Q20" s="52"/>
      <c r="R20" s="52"/>
      <c r="S20" s="52"/>
      <c r="T20" s="52"/>
      <c r="U20" s="52"/>
      <c r="V20" s="52"/>
      <c r="W20" s="52"/>
      <c r="X20" s="52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2"/>
      <c r="BI20" s="582"/>
      <c r="BJ20" s="582"/>
      <c r="BK20" s="582"/>
      <c r="BL20" s="582"/>
      <c r="BM20" s="582"/>
      <c r="BN20" s="582"/>
      <c r="BO20" s="582"/>
      <c r="BP20" s="582"/>
      <c r="BQ20" s="582"/>
      <c r="BR20" s="582"/>
      <c r="BS20" s="582"/>
      <c r="BT20" s="582"/>
    </row>
    <row r="21" spans="1:72" ht="150" customHeight="1">
      <c r="B21" s="63" t="s">
        <v>77</v>
      </c>
      <c r="C21" s="49"/>
      <c r="D21" s="49"/>
      <c r="E21" s="231">
        <f>SUM(E1:E20)</f>
        <v>0</v>
      </c>
      <c r="F21" s="107">
        <f t="shared" ref="F21:G21" si="0">SUM(F1:F20)</f>
        <v>0</v>
      </c>
      <c r="G21" s="230">
        <f t="shared" si="0"/>
        <v>0</v>
      </c>
      <c r="H21" s="231">
        <f>SUM(H1:H20)</f>
        <v>0</v>
      </c>
      <c r="I21" s="107">
        <f t="shared" ref="I21:J21" si="1">SUM(I1:I20)</f>
        <v>0</v>
      </c>
      <c r="J21" s="230">
        <f t="shared" si="1"/>
        <v>0</v>
      </c>
      <c r="K21" s="102"/>
      <c r="L21" s="103"/>
      <c r="M21" s="103"/>
      <c r="N21" s="103"/>
      <c r="O21" s="103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582"/>
      <c r="AX21" s="582"/>
      <c r="AY21" s="582"/>
      <c r="AZ21" s="582"/>
      <c r="BA21" s="582"/>
      <c r="BB21" s="582"/>
      <c r="BC21" s="582"/>
      <c r="BD21" s="582"/>
      <c r="BE21" s="582"/>
      <c r="BF21" s="582"/>
      <c r="BG21" s="582"/>
      <c r="BH21" s="582"/>
      <c r="BI21" s="582"/>
      <c r="BJ21" s="582"/>
      <c r="BK21" s="582"/>
      <c r="BL21" s="582"/>
      <c r="BM21" s="582"/>
      <c r="BN21" s="582"/>
      <c r="BO21" s="582"/>
      <c r="BP21" s="582"/>
      <c r="BQ21" s="582"/>
      <c r="BR21" s="582"/>
      <c r="BS21" s="582"/>
      <c r="BT21" s="582"/>
    </row>
    <row r="22" spans="1:72" s="56" customFormat="1" ht="18" customHeight="1" thickBot="1">
      <c r="D22" s="259" t="s">
        <v>166</v>
      </c>
      <c r="E22" s="232" t="s">
        <v>146</v>
      </c>
      <c r="F22" s="233" t="s">
        <v>147</v>
      </c>
      <c r="G22" s="234" t="s">
        <v>148</v>
      </c>
      <c r="H22" s="232" t="s">
        <v>169</v>
      </c>
      <c r="I22" s="233" t="s">
        <v>170</v>
      </c>
      <c r="J22" s="234" t="s">
        <v>153</v>
      </c>
      <c r="K22" s="102"/>
      <c r="L22" s="104" t="s">
        <v>76</v>
      </c>
      <c r="M22" s="104" t="s">
        <v>75</v>
      </c>
      <c r="N22" s="104" t="s">
        <v>52</v>
      </c>
      <c r="O22" s="104" t="s">
        <v>77</v>
      </c>
      <c r="P22" s="103"/>
      <c r="Q22" s="103"/>
      <c r="R22" s="52"/>
      <c r="S22" s="52"/>
      <c r="T22" s="52"/>
      <c r="U22" s="52"/>
      <c r="V22" s="52"/>
      <c r="W22" s="52"/>
      <c r="X22" s="52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582"/>
      <c r="AX22" s="582"/>
      <c r="AY22" s="582"/>
      <c r="AZ22" s="582"/>
      <c r="BA22" s="582"/>
      <c r="BB22" s="582"/>
      <c r="BC22" s="582"/>
      <c r="BD22" s="582"/>
      <c r="BE22" s="582"/>
      <c r="BF22" s="582"/>
      <c r="BG22" s="582"/>
      <c r="BH22" s="582"/>
      <c r="BI22" s="582"/>
      <c r="BJ22" s="582"/>
      <c r="BK22" s="582"/>
      <c r="BL22" s="582"/>
      <c r="BM22" s="582"/>
      <c r="BN22" s="582"/>
      <c r="BO22" s="582"/>
      <c r="BP22" s="582"/>
      <c r="BQ22" s="582"/>
      <c r="BR22" s="582"/>
      <c r="BS22" s="582"/>
      <c r="BT22" s="582"/>
    </row>
    <row r="23" spans="1:72" s="56" customFormat="1" ht="309.89999999999998" customHeight="1" thickBot="1">
      <c r="D23" s="260" t="s">
        <v>167</v>
      </c>
      <c r="E23" s="261">
        <f>IF(AND(E21&lt;&gt;0,SUM(K1:K20)&lt;&gt;0),1,0)</f>
        <v>0</v>
      </c>
      <c r="F23" s="262">
        <f>IF(AND(F21&lt;&gt;0,SUM(K1:K20)&lt;&gt;0),1,0)</f>
        <v>0</v>
      </c>
      <c r="G23" s="263">
        <f>IF(AND(G21&lt;&gt;0,SUM(K1:K20)&lt;&gt;0),1,0)</f>
        <v>0</v>
      </c>
      <c r="H23" s="261">
        <f>IF(AND(H21&lt;&gt;0,SUM(L1:L20)&lt;&gt;0),1,0)</f>
        <v>0</v>
      </c>
      <c r="I23" s="262">
        <f>IF(AND(I21&lt;&gt;0,SUM(L1:L20)&lt;&gt;0),1,0)</f>
        <v>0</v>
      </c>
      <c r="J23" s="263">
        <f>IF(AND(J21&lt;&gt;0,SUM(L1:L20)&lt;&gt;0),1,0)</f>
        <v>0</v>
      </c>
      <c r="K23" s="102"/>
      <c r="L23" s="103"/>
      <c r="M23" s="103"/>
      <c r="N23" s="103"/>
      <c r="O23" s="103"/>
      <c r="P23" s="103"/>
      <c r="Q23" s="103"/>
      <c r="R23" s="52"/>
      <c r="S23" s="52"/>
      <c r="T23" s="52"/>
      <c r="U23" s="52"/>
      <c r="V23" s="52"/>
      <c r="W23" s="52"/>
      <c r="X23" s="52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582"/>
      <c r="AX23" s="582"/>
      <c r="AY23" s="582"/>
      <c r="AZ23" s="582"/>
      <c r="BA23" s="582"/>
      <c r="BB23" s="582"/>
      <c r="BC23" s="582"/>
      <c r="BD23" s="582"/>
      <c r="BE23" s="582"/>
      <c r="BF23" s="582"/>
      <c r="BG23" s="582"/>
      <c r="BH23" s="582"/>
      <c r="BI23" s="582"/>
      <c r="BJ23" s="582"/>
      <c r="BK23" s="582"/>
      <c r="BL23" s="582"/>
      <c r="BM23" s="582"/>
      <c r="BN23" s="582"/>
      <c r="BO23" s="582"/>
      <c r="BP23" s="582"/>
      <c r="BQ23" s="582"/>
      <c r="BR23" s="582"/>
      <c r="BS23" s="582"/>
      <c r="BT23" s="582"/>
    </row>
    <row r="24" spans="1:72" s="56" customFormat="1" ht="18" customHeight="1" thickBot="1">
      <c r="E24" s="572">
        <f>SUM(E23:G23)</f>
        <v>0</v>
      </c>
      <c r="F24" s="573"/>
      <c r="G24" s="574"/>
      <c r="H24" s="572">
        <f>SUM(H23:J23)</f>
        <v>0</v>
      </c>
      <c r="I24" s="573"/>
      <c r="J24" s="574"/>
      <c r="K24" s="53"/>
      <c r="L24" s="52"/>
      <c r="M24" s="52"/>
      <c r="N24" s="52"/>
      <c r="O24" s="52"/>
      <c r="P24" s="49" t="s">
        <v>76</v>
      </c>
      <c r="Q24" s="49" t="s">
        <v>75</v>
      </c>
      <c r="R24" s="60" t="s">
        <v>52</v>
      </c>
      <c r="S24" s="52" t="s">
        <v>77</v>
      </c>
      <c r="T24" s="52"/>
      <c r="U24" s="52"/>
      <c r="V24" s="52"/>
      <c r="W24" s="52"/>
      <c r="X24" s="52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582"/>
      <c r="AX24" s="582"/>
      <c r="AY24" s="582"/>
      <c r="AZ24" s="582"/>
      <c r="BA24" s="582"/>
      <c r="BB24" s="582"/>
      <c r="BC24" s="582"/>
      <c r="BD24" s="582"/>
      <c r="BE24" s="582"/>
      <c r="BF24" s="582"/>
      <c r="BG24" s="582"/>
      <c r="BH24" s="582"/>
      <c r="BI24" s="582"/>
      <c r="BJ24" s="582"/>
      <c r="BK24" s="582"/>
      <c r="BL24" s="582"/>
      <c r="BM24" s="582"/>
      <c r="BN24" s="582"/>
      <c r="BO24" s="582"/>
      <c r="BP24" s="582"/>
      <c r="BQ24" s="582"/>
      <c r="BR24" s="582"/>
      <c r="BS24" s="582"/>
      <c r="BT24" s="582"/>
    </row>
    <row r="25" spans="1:72" ht="18" customHeight="1">
      <c r="A25" s="49"/>
      <c r="B25" s="51"/>
      <c r="C25" s="51"/>
      <c r="D25" s="49"/>
      <c r="E25" s="235"/>
      <c r="F25" s="235"/>
      <c r="G25" s="235"/>
      <c r="H25" s="49"/>
      <c r="I25" s="49"/>
      <c r="J25" s="49"/>
      <c r="K25" s="53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582"/>
      <c r="AX25" s="582"/>
      <c r="AY25" s="582"/>
      <c r="AZ25" s="582"/>
      <c r="BA25" s="582"/>
      <c r="BB25" s="582"/>
      <c r="BC25" s="582"/>
      <c r="BD25" s="582"/>
      <c r="BE25" s="582"/>
      <c r="BF25" s="582"/>
      <c r="BG25" s="582"/>
      <c r="BH25" s="582"/>
      <c r="BI25" s="582"/>
      <c r="BJ25" s="582"/>
      <c r="BK25" s="582"/>
      <c r="BL25" s="582"/>
      <c r="BM25" s="582"/>
      <c r="BN25" s="582"/>
      <c r="BO25" s="582"/>
      <c r="BP25" s="582"/>
      <c r="BQ25" s="582"/>
      <c r="BR25" s="582"/>
      <c r="BS25" s="582"/>
      <c r="BT25" s="582"/>
    </row>
    <row r="26" spans="1:72" ht="18" customHeight="1">
      <c r="A26" s="55"/>
      <c r="B26" s="57"/>
      <c r="C26" s="57"/>
      <c r="D26" s="58"/>
      <c r="E26" s="236"/>
      <c r="F26" s="59"/>
      <c r="G26" s="59"/>
      <c r="H26" s="235"/>
      <c r="I26" s="58"/>
      <c r="J26" s="235"/>
      <c r="K26" s="53"/>
      <c r="P26" s="52" t="e">
        <f>INDEX(DATI!$P$23:$S$23,MATCH(MODULO!$U$17,DATI!$P$24:$S$24,0))</f>
        <v>#N/A</v>
      </c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582"/>
      <c r="AX26" s="582"/>
      <c r="AY26" s="582"/>
      <c r="AZ26" s="582"/>
      <c r="BA26" s="582"/>
      <c r="BB26" s="582"/>
      <c r="BC26" s="582"/>
      <c r="BD26" s="582"/>
      <c r="BE26" s="582"/>
      <c r="BF26" s="582"/>
      <c r="BG26" s="582"/>
      <c r="BH26" s="582"/>
      <c r="BI26" s="582"/>
      <c r="BJ26" s="582"/>
      <c r="BK26" s="582"/>
      <c r="BL26" s="582"/>
      <c r="BM26" s="582"/>
      <c r="BN26" s="582"/>
      <c r="BO26" s="582"/>
      <c r="BP26" s="582"/>
      <c r="BQ26" s="582"/>
      <c r="BR26" s="582"/>
      <c r="BS26" s="582"/>
      <c r="BT26" s="582"/>
    </row>
    <row r="28" spans="1:72">
      <c r="A28" s="49" t="s">
        <v>107</v>
      </c>
      <c r="B28" s="49" t="s">
        <v>108</v>
      </c>
      <c r="C28" s="49" t="s">
        <v>109</v>
      </c>
      <c r="D28" s="49" t="s">
        <v>143</v>
      </c>
      <c r="E28" s="49" t="s">
        <v>110</v>
      </c>
      <c r="F28" s="49" t="s">
        <v>111</v>
      </c>
      <c r="G28" s="49" t="s">
        <v>30</v>
      </c>
      <c r="H28" s="49" t="s">
        <v>49</v>
      </c>
      <c r="I28" s="49" t="s">
        <v>140</v>
      </c>
      <c r="J28" s="49" t="s">
        <v>141</v>
      </c>
      <c r="K28" s="49" t="s">
        <v>144</v>
      </c>
      <c r="L28" s="49" t="s">
        <v>142</v>
      </c>
    </row>
    <row r="29" spans="1:72">
      <c r="A29" s="215">
        <v>60</v>
      </c>
      <c r="B29" s="215">
        <v>60</v>
      </c>
      <c r="C29" s="215">
        <v>60</v>
      </c>
      <c r="D29" s="215">
        <v>80</v>
      </c>
      <c r="E29" s="215">
        <v>80</v>
      </c>
      <c r="F29" s="215">
        <v>80</v>
      </c>
      <c r="G29" s="215">
        <v>60</v>
      </c>
      <c r="H29" s="215">
        <v>60</v>
      </c>
      <c r="I29" s="215">
        <v>60</v>
      </c>
      <c r="J29" s="215">
        <v>60</v>
      </c>
      <c r="K29" s="215">
        <v>60</v>
      </c>
      <c r="L29" s="215">
        <v>60</v>
      </c>
    </row>
    <row r="30" spans="1:72" ht="14.25" customHeight="1">
      <c r="A30" s="215">
        <v>80</v>
      </c>
      <c r="B30" s="215">
        <v>80</v>
      </c>
      <c r="C30" s="215">
        <v>80</v>
      </c>
      <c r="D30" s="215">
        <v>100</v>
      </c>
      <c r="E30" s="215">
        <v>100</v>
      </c>
      <c r="F30" s="215">
        <v>100</v>
      </c>
      <c r="G30" s="215">
        <v>80</v>
      </c>
      <c r="H30" s="215">
        <v>80</v>
      </c>
      <c r="I30" s="215">
        <v>80</v>
      </c>
      <c r="J30" s="215">
        <v>80</v>
      </c>
      <c r="K30" s="215">
        <v>80</v>
      </c>
      <c r="L30" s="215">
        <v>80</v>
      </c>
    </row>
    <row r="31" spans="1:72" ht="14.25" customHeight="1">
      <c r="A31" s="215">
        <v>100</v>
      </c>
      <c r="B31" s="215">
        <v>100</v>
      </c>
      <c r="C31" s="215">
        <v>100</v>
      </c>
      <c r="D31" s="215">
        <v>120</v>
      </c>
      <c r="E31" s="215">
        <v>120</v>
      </c>
      <c r="F31" s="215">
        <v>120</v>
      </c>
      <c r="G31" s="215">
        <v>100</v>
      </c>
      <c r="H31" s="215">
        <v>100</v>
      </c>
      <c r="I31" s="215">
        <v>100</v>
      </c>
      <c r="J31" s="215">
        <v>100</v>
      </c>
      <c r="K31" s="215">
        <v>100</v>
      </c>
      <c r="L31" s="215">
        <v>100</v>
      </c>
    </row>
    <row r="32" spans="1:72" ht="14.25" customHeight="1">
      <c r="A32" s="215">
        <v>120</v>
      </c>
      <c r="B32" s="215">
        <v>120</v>
      </c>
      <c r="C32" s="215">
        <v>120</v>
      </c>
      <c r="D32" s="215">
        <v>140</v>
      </c>
      <c r="E32" s="215">
        <v>140</v>
      </c>
      <c r="F32" s="215">
        <v>140</v>
      </c>
      <c r="G32" s="215">
        <v>120</v>
      </c>
      <c r="H32" s="215">
        <v>120</v>
      </c>
      <c r="I32" s="215">
        <v>120</v>
      </c>
      <c r="J32" s="215">
        <v>120</v>
      </c>
      <c r="K32" s="215">
        <v>120</v>
      </c>
      <c r="L32" s="215">
        <v>120</v>
      </c>
    </row>
    <row r="33" spans="1:12" ht="14.25" customHeight="1">
      <c r="A33" s="215">
        <v>140</v>
      </c>
      <c r="B33" s="215">
        <v>140</v>
      </c>
      <c r="C33" s="215">
        <v>140</v>
      </c>
      <c r="D33" s="215">
        <v>160</v>
      </c>
      <c r="E33" s="215">
        <v>160</v>
      </c>
      <c r="F33" s="215">
        <v>160</v>
      </c>
      <c r="G33" s="215">
        <v>140</v>
      </c>
      <c r="H33" s="215">
        <v>140</v>
      </c>
      <c r="I33" s="215">
        <v>140</v>
      </c>
      <c r="J33" s="215">
        <v>140</v>
      </c>
      <c r="K33" s="215">
        <v>140</v>
      </c>
      <c r="L33" s="215">
        <v>140</v>
      </c>
    </row>
    <row r="34" spans="1:12" ht="14.25" customHeight="1">
      <c r="A34" s="215">
        <v>160</v>
      </c>
      <c r="B34" s="215">
        <v>160</v>
      </c>
      <c r="C34" s="215">
        <v>160</v>
      </c>
      <c r="D34" s="59">
        <v>180</v>
      </c>
      <c r="E34" s="59">
        <v>180</v>
      </c>
      <c r="F34" s="59">
        <v>180</v>
      </c>
      <c r="G34" s="215">
        <v>160</v>
      </c>
      <c r="H34" s="215">
        <v>160</v>
      </c>
      <c r="I34" s="215">
        <v>160</v>
      </c>
      <c r="J34" s="215">
        <v>160</v>
      </c>
      <c r="K34" s="215">
        <v>160</v>
      </c>
      <c r="L34" s="215">
        <v>160</v>
      </c>
    </row>
    <row r="35" spans="1:12">
      <c r="A35" s="59">
        <v>180</v>
      </c>
      <c r="B35" s="59">
        <v>180</v>
      </c>
      <c r="C35" s="59">
        <v>180</v>
      </c>
      <c r="D35" s="59">
        <v>200</v>
      </c>
      <c r="E35" s="59">
        <v>200</v>
      </c>
      <c r="F35" s="59">
        <v>200</v>
      </c>
      <c r="G35" s="59">
        <v>180</v>
      </c>
      <c r="H35" s="59">
        <v>180</v>
      </c>
      <c r="I35" s="59">
        <v>180</v>
      </c>
      <c r="J35" s="59">
        <v>180</v>
      </c>
      <c r="K35" s="59">
        <v>180</v>
      </c>
      <c r="L35" s="59">
        <v>180</v>
      </c>
    </row>
    <row r="36" spans="1:12">
      <c r="A36" s="59">
        <v>200</v>
      </c>
      <c r="B36" s="59">
        <v>200</v>
      </c>
      <c r="C36" s="59">
        <v>200</v>
      </c>
      <c r="D36" s="59">
        <v>250</v>
      </c>
      <c r="E36" s="59">
        <v>250</v>
      </c>
      <c r="F36" s="59">
        <v>250</v>
      </c>
      <c r="G36" s="59">
        <v>200</v>
      </c>
      <c r="H36" s="59">
        <v>200</v>
      </c>
      <c r="I36" s="59">
        <v>200</v>
      </c>
      <c r="J36" s="59">
        <v>200</v>
      </c>
      <c r="K36" s="59">
        <v>200</v>
      </c>
      <c r="L36" s="59">
        <v>200</v>
      </c>
    </row>
    <row r="37" spans="1:12">
      <c r="A37" s="59">
        <v>250</v>
      </c>
      <c r="B37" s="59">
        <v>250</v>
      </c>
      <c r="C37" s="59">
        <v>250</v>
      </c>
      <c r="D37" s="59">
        <f t="shared" ref="B37:L38" si="2">IF($A$40="3 CON FRONTALE","",300)</f>
        <v>300</v>
      </c>
      <c r="E37" s="59">
        <f t="shared" si="2"/>
        <v>300</v>
      </c>
      <c r="F37" s="59">
        <f t="shared" si="2"/>
        <v>300</v>
      </c>
      <c r="G37" s="59">
        <v>250</v>
      </c>
      <c r="H37" s="59">
        <v>250</v>
      </c>
      <c r="I37" s="59">
        <v>250</v>
      </c>
      <c r="J37" s="59">
        <v>250</v>
      </c>
      <c r="K37" s="59">
        <v>250</v>
      </c>
      <c r="L37" s="59">
        <v>250</v>
      </c>
    </row>
    <row r="38" spans="1:12">
      <c r="A38" s="59">
        <f>IF($A$40="3 CON FRONTALE","",300)</f>
        <v>300</v>
      </c>
      <c r="B38" s="59">
        <f t="shared" si="2"/>
        <v>300</v>
      </c>
      <c r="C38" s="59">
        <f t="shared" si="2"/>
        <v>300</v>
      </c>
      <c r="D38" s="59"/>
      <c r="E38" s="59"/>
      <c r="F38" s="59"/>
      <c r="G38" s="59">
        <f t="shared" si="2"/>
        <v>300</v>
      </c>
      <c r="H38" s="59">
        <f t="shared" si="2"/>
        <v>300</v>
      </c>
      <c r="I38" s="59">
        <f t="shared" si="2"/>
        <v>300</v>
      </c>
      <c r="J38" s="59">
        <f t="shared" si="2"/>
        <v>300</v>
      </c>
      <c r="K38" s="59">
        <f>IF($A$40="3 CON FRONTALE","",300)</f>
        <v>300</v>
      </c>
      <c r="L38" s="59">
        <f t="shared" si="2"/>
        <v>300</v>
      </c>
    </row>
    <row r="40" spans="1:12">
      <c r="A40" s="52">
        <f>MODULO!U17</f>
        <v>0</v>
      </c>
    </row>
  </sheetData>
  <sheetProtection algorithmName="SHA-512" hashValue="Jc/2TjChixp0sT09++ZFomKBYEoOzTJ59otIZ+cO8IPZnbehb0Q6eqPJaN6Wn/ceVMfpEDcj+XtxTIiRIVCm/A==" saltValue="a2eTSE9/ZmCoxCNApJkU2g==" spinCount="100000" sheet="1" objects="1" scenarios="1" selectLockedCells="1"/>
  <mergeCells count="95">
    <mergeCell ref="G11:G12"/>
    <mergeCell ref="G13:G14"/>
    <mergeCell ref="G15:G16"/>
    <mergeCell ref="G17:G18"/>
    <mergeCell ref="G19:G20"/>
    <mergeCell ref="G1:G2"/>
    <mergeCell ref="G3:G4"/>
    <mergeCell ref="G5:G6"/>
    <mergeCell ref="G7:G8"/>
    <mergeCell ref="G9:G10"/>
    <mergeCell ref="D11:D12"/>
    <mergeCell ref="D13:D14"/>
    <mergeCell ref="D15:D16"/>
    <mergeCell ref="D17:D18"/>
    <mergeCell ref="D19:D20"/>
    <mergeCell ref="D1:D2"/>
    <mergeCell ref="D3:D4"/>
    <mergeCell ref="D5:D6"/>
    <mergeCell ref="D7:D8"/>
    <mergeCell ref="D9:D10"/>
    <mergeCell ref="AW18:BT26"/>
    <mergeCell ref="AS1:BC8"/>
    <mergeCell ref="AS9:BC9"/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F1:F2"/>
    <mergeCell ref="F13:F14"/>
    <mergeCell ref="F15:F16"/>
    <mergeCell ref="F17:F18"/>
    <mergeCell ref="F19:F20"/>
    <mergeCell ref="F3:F4"/>
    <mergeCell ref="F5:F6"/>
    <mergeCell ref="F7:F8"/>
    <mergeCell ref="F9:F10"/>
    <mergeCell ref="F11:F12"/>
    <mergeCell ref="H1:H2"/>
    <mergeCell ref="I1:I2"/>
    <mergeCell ref="J1:J2"/>
    <mergeCell ref="H3:H4"/>
    <mergeCell ref="I3:I4"/>
    <mergeCell ref="J3:J4"/>
    <mergeCell ref="H5:H6"/>
    <mergeCell ref="I5:I6"/>
    <mergeCell ref="J5:J6"/>
    <mergeCell ref="H7:H8"/>
    <mergeCell ref="I7:I8"/>
    <mergeCell ref="J7:J8"/>
    <mergeCell ref="H9:H10"/>
    <mergeCell ref="I9:I10"/>
    <mergeCell ref="J9:J10"/>
    <mergeCell ref="H11:H12"/>
    <mergeCell ref="I11:I12"/>
    <mergeCell ref="J11:J12"/>
    <mergeCell ref="I19:I20"/>
    <mergeCell ref="J19:J20"/>
    <mergeCell ref="H13:H14"/>
    <mergeCell ref="I13:I14"/>
    <mergeCell ref="J13:J14"/>
    <mergeCell ref="H15:H16"/>
    <mergeCell ref="I15:I16"/>
    <mergeCell ref="J15:J16"/>
    <mergeCell ref="K1:K2"/>
    <mergeCell ref="K3:K4"/>
    <mergeCell ref="K5:K6"/>
    <mergeCell ref="K7:K8"/>
    <mergeCell ref="K9:K10"/>
    <mergeCell ref="L1:L2"/>
    <mergeCell ref="L3:L4"/>
    <mergeCell ref="L5:L6"/>
    <mergeCell ref="L7:L8"/>
    <mergeCell ref="L9:L10"/>
    <mergeCell ref="E24:G24"/>
    <mergeCell ref="H24:J24"/>
    <mergeCell ref="L11:L12"/>
    <mergeCell ref="L13:L14"/>
    <mergeCell ref="L15:L16"/>
    <mergeCell ref="L17:L18"/>
    <mergeCell ref="L19:L20"/>
    <mergeCell ref="K11:K12"/>
    <mergeCell ref="K13:K14"/>
    <mergeCell ref="K15:K16"/>
    <mergeCell ref="K17:K18"/>
    <mergeCell ref="K19:K20"/>
    <mergeCell ref="H17:H18"/>
    <mergeCell ref="I17:I18"/>
    <mergeCell ref="J17:J18"/>
    <mergeCell ref="H19:H20"/>
  </mergeCells>
  <phoneticPr fontId="33" type="noConversion"/>
  <dataValidations disablePrompts="1" count="2">
    <dataValidation type="list" allowBlank="1" showInputMessage="1" showErrorMessage="1" sqref="B1" xr:uid="{9E6E0CD3-2A51-4248-A889-BF62BC313A14}">
      <formula1>MULTISTRATO</formula1>
    </dataValidation>
    <dataValidation type="list" allowBlank="1" showInputMessage="1" showErrorMessage="1" sqref="C1" xr:uid="{D5270CBF-5C4E-48CC-8B9A-AE699EB82D92}">
      <formula1>NOBILITATO</formula1>
    </dataValidation>
  </dataValidations>
  <printOptions horizontalCentered="1"/>
  <pageMargins left="0" right="0" top="0" bottom="0" header="0.31496062992125984" footer="0.31496062992125984"/>
  <pageSetup paperSize="9" scale="16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20F-9B45-4DED-9137-186CFE91B96B}">
  <sheetPr codeName="Foglio5"/>
  <dimension ref="A1:AM135"/>
  <sheetViews>
    <sheetView showGridLines="0" showRowColHeaders="0" topLeftCell="A124" workbookViewId="0">
      <selection activeCell="C176" sqref="C176"/>
    </sheetView>
  </sheetViews>
  <sheetFormatPr defaultRowHeight="13.2"/>
  <cols>
    <col min="1" max="1" width="13" customWidth="1"/>
    <col min="2" max="2" width="53" customWidth="1"/>
    <col min="3" max="3" width="22.33203125" customWidth="1"/>
    <col min="4" max="4" width="24.33203125" customWidth="1"/>
    <col min="5" max="5" width="18.6640625" customWidth="1"/>
    <col min="6" max="6" width="28.109375" customWidth="1"/>
    <col min="7" max="7" width="20.6640625" customWidth="1"/>
    <col min="8" max="8" width="23.44140625" customWidth="1"/>
    <col min="9" max="9" width="23.109375" customWidth="1"/>
    <col min="10" max="10" width="25.5546875" customWidth="1"/>
    <col min="11" max="11" width="29.33203125" customWidth="1"/>
    <col min="12" max="12" width="9.109375" customWidth="1"/>
    <col min="13" max="13" width="10.6640625" customWidth="1"/>
    <col min="14" max="14" width="18.44140625" customWidth="1"/>
    <col min="15" max="15" width="24.33203125" customWidth="1"/>
    <col min="17" max="17" width="20.88671875" customWidth="1"/>
    <col min="19" max="19" width="11.44140625" customWidth="1"/>
    <col min="20" max="20" width="22.88671875" customWidth="1"/>
    <col min="21" max="21" width="20.109375" customWidth="1"/>
    <col min="35" max="35" width="35.33203125" customWidth="1"/>
    <col min="36" max="36" width="10.33203125" customWidth="1"/>
    <col min="37" max="37" width="16.6640625" customWidth="1"/>
    <col min="38" max="38" width="15.44140625" customWidth="1"/>
    <col min="39" max="39" width="22.6640625" customWidth="1"/>
  </cols>
  <sheetData>
    <row r="1" spans="1:39" hidden="1">
      <c r="A1" s="76" t="s">
        <v>72</v>
      </c>
      <c r="B1" s="76" t="s">
        <v>31</v>
      </c>
      <c r="C1" s="76" t="s">
        <v>53</v>
      </c>
      <c r="D1" s="77" t="s">
        <v>81</v>
      </c>
      <c r="E1" s="77" t="s">
        <v>78</v>
      </c>
      <c r="F1" s="77" t="s">
        <v>80</v>
      </c>
      <c r="G1" s="77" t="s">
        <v>100</v>
      </c>
      <c r="H1" s="93" t="s">
        <v>101</v>
      </c>
      <c r="I1" s="93" t="s">
        <v>102</v>
      </c>
      <c r="J1" s="100" t="s">
        <v>85</v>
      </c>
      <c r="K1" s="93" t="s">
        <v>104</v>
      </c>
      <c r="L1" s="101" t="s">
        <v>90</v>
      </c>
      <c r="M1" s="101" t="s">
        <v>103</v>
      </c>
      <c r="N1" s="93" t="s">
        <v>105</v>
      </c>
      <c r="O1" s="101" t="s">
        <v>106</v>
      </c>
      <c r="P1" s="75" t="s">
        <v>149</v>
      </c>
      <c r="Q1" s="67" t="s">
        <v>58</v>
      </c>
      <c r="R1" s="67" t="s">
        <v>47</v>
      </c>
      <c r="S1" s="67" t="s">
        <v>88</v>
      </c>
      <c r="T1" s="75" t="s">
        <v>98</v>
      </c>
      <c r="U1" s="75" t="s">
        <v>99</v>
      </c>
      <c r="V1" s="249" t="s">
        <v>118</v>
      </c>
      <c r="AA1" s="18"/>
      <c r="AI1" s="76" t="s">
        <v>46</v>
      </c>
      <c r="AJ1" s="229" t="s">
        <v>150</v>
      </c>
      <c r="AK1" s="229" t="s">
        <v>162</v>
      </c>
      <c r="AL1" s="229" t="s">
        <v>151</v>
      </c>
      <c r="AM1" s="229"/>
    </row>
    <row r="2" spans="1:39" hidden="1">
      <c r="A2" s="67" t="s">
        <v>53</v>
      </c>
      <c r="B2" s="75" t="s">
        <v>149</v>
      </c>
      <c r="C2" s="75" t="s">
        <v>81</v>
      </c>
      <c r="D2" s="75" t="s">
        <v>101</v>
      </c>
      <c r="E2" s="75" t="s">
        <v>103</v>
      </c>
      <c r="F2" s="75" t="s">
        <v>105</v>
      </c>
      <c r="G2" s="75" t="s">
        <v>90</v>
      </c>
      <c r="H2" s="89">
        <v>250</v>
      </c>
      <c r="I2" s="89">
        <v>250</v>
      </c>
      <c r="J2" s="91">
        <v>250</v>
      </c>
      <c r="K2" s="89">
        <v>250</v>
      </c>
      <c r="L2" s="89">
        <v>250</v>
      </c>
      <c r="M2" s="92">
        <v>250</v>
      </c>
      <c r="N2" s="89">
        <v>300</v>
      </c>
      <c r="O2" s="89">
        <v>300</v>
      </c>
      <c r="P2" s="71">
        <v>250</v>
      </c>
      <c r="Q2" s="71">
        <v>250</v>
      </c>
      <c r="R2" s="71">
        <v>250</v>
      </c>
      <c r="S2" s="71">
        <v>250</v>
      </c>
      <c r="T2" s="71">
        <v>250</v>
      </c>
      <c r="U2" s="71">
        <v>250</v>
      </c>
      <c r="V2" s="250">
        <v>250</v>
      </c>
      <c r="W2" s="2"/>
      <c r="X2" s="2"/>
      <c r="Y2" s="18"/>
      <c r="Z2" s="18"/>
      <c r="AA2" s="18"/>
      <c r="AI2" s="225" t="s">
        <v>150</v>
      </c>
      <c r="AJ2" s="227">
        <v>250</v>
      </c>
      <c r="AK2" s="227">
        <v>250</v>
      </c>
      <c r="AL2" s="227"/>
      <c r="AM2" s="227"/>
    </row>
    <row r="3" spans="1:39" hidden="1">
      <c r="A3" s="67" t="s">
        <v>31</v>
      </c>
      <c r="B3" s="67" t="s">
        <v>58</v>
      </c>
      <c r="C3" s="75" t="s">
        <v>78</v>
      </c>
      <c r="D3" s="75" t="s">
        <v>102</v>
      </c>
      <c r="E3" s="75" t="s">
        <v>85</v>
      </c>
      <c r="F3" s="75" t="s">
        <v>106</v>
      </c>
      <c r="G3" s="67"/>
      <c r="H3" s="89">
        <v>300</v>
      </c>
      <c r="I3" s="89">
        <v>300</v>
      </c>
      <c r="J3" s="91">
        <v>300</v>
      </c>
      <c r="K3" s="89">
        <v>300</v>
      </c>
      <c r="L3" s="89">
        <v>300</v>
      </c>
      <c r="M3" s="89">
        <v>280</v>
      </c>
      <c r="N3" s="89">
        <v>350</v>
      </c>
      <c r="O3" s="89">
        <v>350</v>
      </c>
      <c r="P3" s="72">
        <v>270</v>
      </c>
      <c r="Q3" s="72">
        <v>270</v>
      </c>
      <c r="R3" s="72">
        <v>270</v>
      </c>
      <c r="S3" s="72">
        <v>280</v>
      </c>
      <c r="T3" s="72">
        <v>280</v>
      </c>
      <c r="U3" s="72">
        <v>280</v>
      </c>
      <c r="V3" s="74">
        <v>270</v>
      </c>
      <c r="W3" s="2"/>
      <c r="X3" s="2"/>
      <c r="Y3" s="18"/>
      <c r="Z3" s="18"/>
      <c r="AA3" s="18"/>
      <c r="AI3" s="225" t="s">
        <v>162</v>
      </c>
      <c r="AJ3" s="228">
        <v>270</v>
      </c>
      <c r="AK3" s="228">
        <v>270</v>
      </c>
      <c r="AL3" s="228">
        <v>270</v>
      </c>
      <c r="AM3" s="228"/>
    </row>
    <row r="4" spans="1:39" hidden="1">
      <c r="A4" s="67"/>
      <c r="B4" s="67" t="s">
        <v>47</v>
      </c>
      <c r="C4" s="75" t="s">
        <v>80</v>
      </c>
      <c r="D4" s="67"/>
      <c r="E4" s="75" t="s">
        <v>104</v>
      </c>
      <c r="F4" s="67"/>
      <c r="G4" s="67"/>
      <c r="H4" s="89">
        <v>350</v>
      </c>
      <c r="I4" s="89">
        <v>350</v>
      </c>
      <c r="J4" s="91">
        <v>350</v>
      </c>
      <c r="K4" s="89">
        <v>350</v>
      </c>
      <c r="L4" s="89">
        <v>350</v>
      </c>
      <c r="M4" s="89">
        <v>300</v>
      </c>
      <c r="N4" s="89">
        <v>400</v>
      </c>
      <c r="O4" s="89">
        <v>400</v>
      </c>
      <c r="P4" s="72">
        <v>300</v>
      </c>
      <c r="Q4" s="72">
        <v>300</v>
      </c>
      <c r="R4" s="72">
        <v>300</v>
      </c>
      <c r="S4" s="72">
        <v>300</v>
      </c>
      <c r="T4" s="72">
        <v>300</v>
      </c>
      <c r="U4" s="72">
        <v>300</v>
      </c>
      <c r="V4" s="74">
        <v>300</v>
      </c>
      <c r="W4" s="2"/>
      <c r="X4" s="2"/>
      <c r="Y4" s="18"/>
      <c r="Z4" s="18"/>
      <c r="AA4" s="18"/>
      <c r="AI4" s="225" t="s">
        <v>151</v>
      </c>
      <c r="AJ4" s="228">
        <v>300</v>
      </c>
      <c r="AK4" s="228">
        <v>300</v>
      </c>
      <c r="AL4" s="228">
        <v>300</v>
      </c>
      <c r="AM4" s="228"/>
    </row>
    <row r="5" spans="1:39" hidden="1">
      <c r="A5" s="67"/>
      <c r="B5" s="67" t="s">
        <v>88</v>
      </c>
      <c r="C5" s="75" t="s">
        <v>100</v>
      </c>
      <c r="D5" s="67"/>
      <c r="E5" s="67"/>
      <c r="F5" s="67"/>
      <c r="G5" s="67"/>
      <c r="H5" s="89">
        <v>400</v>
      </c>
      <c r="I5" s="89">
        <v>400</v>
      </c>
      <c r="J5" s="91">
        <v>400</v>
      </c>
      <c r="K5" s="89">
        <v>400</v>
      </c>
      <c r="L5" s="89">
        <v>400</v>
      </c>
      <c r="M5" s="89">
        <v>320</v>
      </c>
      <c r="N5" s="89">
        <v>450</v>
      </c>
      <c r="O5" s="89">
        <v>450</v>
      </c>
      <c r="P5" s="72">
        <v>320</v>
      </c>
      <c r="Q5" s="72">
        <v>350</v>
      </c>
      <c r="R5" s="72">
        <v>320</v>
      </c>
      <c r="S5" s="72">
        <v>320</v>
      </c>
      <c r="T5" s="72">
        <v>320</v>
      </c>
      <c r="U5" s="72">
        <v>320</v>
      </c>
      <c r="V5" s="74">
        <v>320</v>
      </c>
      <c r="W5" s="2"/>
      <c r="X5" s="2"/>
      <c r="Y5" s="18"/>
      <c r="Z5" s="18"/>
      <c r="AA5" s="18"/>
      <c r="AI5" s="225"/>
      <c r="AJ5" s="228">
        <v>320</v>
      </c>
      <c r="AK5" s="228">
        <v>320</v>
      </c>
      <c r="AL5" s="228">
        <v>320</v>
      </c>
      <c r="AM5" s="228"/>
    </row>
    <row r="6" spans="1:39" hidden="1">
      <c r="A6" s="67"/>
      <c r="B6" s="75" t="s">
        <v>98</v>
      </c>
      <c r="C6" s="67" t="s">
        <v>46</v>
      </c>
      <c r="D6" s="67"/>
      <c r="E6" s="67"/>
      <c r="F6" s="67"/>
      <c r="G6" s="67"/>
      <c r="H6" s="89">
        <v>450</v>
      </c>
      <c r="I6" s="89">
        <v>450</v>
      </c>
      <c r="J6" s="91">
        <v>450</v>
      </c>
      <c r="K6" s="89">
        <v>450</v>
      </c>
      <c r="L6" s="89">
        <v>450</v>
      </c>
      <c r="M6" s="89">
        <v>350</v>
      </c>
      <c r="N6" s="89">
        <v>500</v>
      </c>
      <c r="O6" s="89">
        <v>500</v>
      </c>
      <c r="P6" s="72">
        <v>350</v>
      </c>
      <c r="Q6" s="72">
        <v>400</v>
      </c>
      <c r="R6" s="72">
        <v>350</v>
      </c>
      <c r="S6" s="72">
        <v>350</v>
      </c>
      <c r="T6" s="72">
        <v>350</v>
      </c>
      <c r="U6" s="72">
        <v>350</v>
      </c>
      <c r="V6" s="74">
        <v>350</v>
      </c>
      <c r="W6" s="2"/>
      <c r="X6" s="2"/>
      <c r="Y6" s="18"/>
      <c r="Z6" s="18"/>
      <c r="AA6" s="18"/>
      <c r="AI6" s="72"/>
      <c r="AJ6" s="228">
        <v>350</v>
      </c>
      <c r="AK6" s="228">
        <v>350</v>
      </c>
      <c r="AL6" s="228">
        <v>350</v>
      </c>
      <c r="AM6" s="228"/>
    </row>
    <row r="7" spans="1:39" hidden="1">
      <c r="A7" s="67"/>
      <c r="B7" s="75" t="s">
        <v>99</v>
      </c>
      <c r="C7" s="67"/>
      <c r="D7" s="67"/>
      <c r="E7" s="67"/>
      <c r="F7" s="67"/>
      <c r="G7" s="67"/>
      <c r="H7" s="89">
        <v>500</v>
      </c>
      <c r="I7" s="89">
        <v>500</v>
      </c>
      <c r="J7" s="91">
        <v>500</v>
      </c>
      <c r="K7" s="89">
        <v>500</v>
      </c>
      <c r="L7" s="89">
        <v>500</v>
      </c>
      <c r="M7" s="89">
        <v>380</v>
      </c>
      <c r="N7" s="89">
        <v>550</v>
      </c>
      <c r="O7" s="89">
        <v>550</v>
      </c>
      <c r="P7" s="72">
        <v>380</v>
      </c>
      <c r="Q7" s="72">
        <v>450</v>
      </c>
      <c r="R7" s="72">
        <v>380</v>
      </c>
      <c r="S7" s="72">
        <v>380</v>
      </c>
      <c r="T7" s="72">
        <v>380</v>
      </c>
      <c r="U7" s="72">
        <v>380</v>
      </c>
      <c r="V7" s="74">
        <v>380</v>
      </c>
      <c r="W7" s="2"/>
      <c r="X7" s="2"/>
      <c r="Y7" s="18"/>
      <c r="Z7" s="18"/>
      <c r="AA7" s="18"/>
      <c r="AI7" s="72"/>
      <c r="AJ7" s="228">
        <v>380</v>
      </c>
      <c r="AK7" s="228">
        <v>380</v>
      </c>
      <c r="AL7" s="228">
        <v>380</v>
      </c>
      <c r="AM7" s="228"/>
    </row>
    <row r="8" spans="1:39" hidden="1">
      <c r="B8" s="144" t="s">
        <v>118</v>
      </c>
      <c r="H8" s="89">
        <v>550</v>
      </c>
      <c r="I8" s="89">
        <v>550</v>
      </c>
      <c r="J8" s="91">
        <v>550</v>
      </c>
      <c r="K8" s="89">
        <v>550</v>
      </c>
      <c r="M8" s="89">
        <v>400</v>
      </c>
      <c r="N8" s="89">
        <v>600</v>
      </c>
      <c r="O8" s="89">
        <v>600</v>
      </c>
      <c r="P8" s="72">
        <v>400</v>
      </c>
      <c r="Q8" s="72">
        <v>470</v>
      </c>
      <c r="R8" s="72">
        <v>400</v>
      </c>
      <c r="S8" s="72">
        <v>400</v>
      </c>
      <c r="T8" s="72">
        <v>400</v>
      </c>
      <c r="U8" s="72">
        <v>400</v>
      </c>
      <c r="V8" s="74">
        <v>400</v>
      </c>
      <c r="W8" s="2"/>
      <c r="X8" s="2"/>
      <c r="Y8" s="18"/>
      <c r="Z8" s="84"/>
      <c r="AA8" s="18"/>
      <c r="AI8" s="72"/>
      <c r="AJ8" s="228">
        <v>400</v>
      </c>
      <c r="AK8" s="228">
        <v>400</v>
      </c>
      <c r="AL8" s="228">
        <v>400</v>
      </c>
      <c r="AM8" s="228"/>
    </row>
    <row r="9" spans="1:39" hidden="1">
      <c r="H9" s="89">
        <v>600</v>
      </c>
      <c r="I9" s="89">
        <v>600</v>
      </c>
      <c r="M9" s="89">
        <v>420</v>
      </c>
      <c r="N9" s="89">
        <v>750</v>
      </c>
      <c r="O9" s="89">
        <v>750</v>
      </c>
      <c r="P9" s="72">
        <v>420</v>
      </c>
      <c r="Q9" s="72">
        <v>500</v>
      </c>
      <c r="R9" s="72">
        <v>420</v>
      </c>
      <c r="S9" s="72">
        <v>420</v>
      </c>
      <c r="T9" s="72">
        <v>420</v>
      </c>
      <c r="U9" s="72">
        <v>420</v>
      </c>
      <c r="V9" s="74">
        <v>420</v>
      </c>
      <c r="W9" s="2"/>
      <c r="X9" s="2"/>
      <c r="Y9" s="18"/>
      <c r="Z9" s="84"/>
      <c r="AA9" s="18"/>
      <c r="AI9" s="72"/>
      <c r="AJ9" s="228">
        <v>420</v>
      </c>
      <c r="AK9" s="228">
        <v>420</v>
      </c>
      <c r="AL9" s="228">
        <v>420</v>
      </c>
      <c r="AM9" s="228"/>
    </row>
    <row r="10" spans="1:39" hidden="1">
      <c r="M10" s="89">
        <v>450</v>
      </c>
      <c r="P10" s="72">
        <v>450</v>
      </c>
      <c r="Q10" s="72">
        <v>550</v>
      </c>
      <c r="R10" s="72">
        <v>450</v>
      </c>
      <c r="S10" s="72">
        <v>450</v>
      </c>
      <c r="T10" s="72">
        <v>450</v>
      </c>
      <c r="U10" s="72">
        <v>450</v>
      </c>
      <c r="V10" s="74">
        <v>450</v>
      </c>
      <c r="W10" s="2"/>
      <c r="X10" s="2"/>
      <c r="Y10" s="18"/>
      <c r="Z10" s="84"/>
      <c r="AA10" s="18"/>
      <c r="AI10" s="72"/>
      <c r="AJ10" s="228">
        <v>450</v>
      </c>
      <c r="AK10" s="228">
        <v>450</v>
      </c>
      <c r="AL10" s="228">
        <v>450</v>
      </c>
      <c r="AM10" s="228"/>
    </row>
    <row r="11" spans="1:39" hidden="1">
      <c r="L11" s="2"/>
      <c r="M11" s="89">
        <v>480</v>
      </c>
      <c r="P11" s="72">
        <v>480</v>
      </c>
      <c r="Q11" s="72">
        <v>600</v>
      </c>
      <c r="R11" s="72">
        <v>480</v>
      </c>
      <c r="S11" s="72">
        <v>480</v>
      </c>
      <c r="T11" s="72">
        <v>480</v>
      </c>
      <c r="U11" s="72">
        <v>480</v>
      </c>
      <c r="V11" s="74">
        <v>480</v>
      </c>
      <c r="W11" s="2"/>
      <c r="X11" s="2"/>
      <c r="Y11" s="18"/>
      <c r="Z11" s="84"/>
      <c r="AA11" s="18"/>
      <c r="AI11" s="72"/>
      <c r="AJ11" s="228">
        <v>480</v>
      </c>
      <c r="AK11" s="228">
        <v>480</v>
      </c>
      <c r="AL11" s="228">
        <v>480</v>
      </c>
      <c r="AM11" s="228"/>
    </row>
    <row r="12" spans="1:39" hidden="1">
      <c r="M12" s="89">
        <v>500</v>
      </c>
      <c r="P12" s="72">
        <v>500</v>
      </c>
      <c r="Q12" s="72"/>
      <c r="R12" s="72">
        <v>500</v>
      </c>
      <c r="S12" s="72">
        <v>500</v>
      </c>
      <c r="T12" s="72">
        <v>500</v>
      </c>
      <c r="U12" s="72">
        <v>500</v>
      </c>
      <c r="V12" s="74">
        <v>500</v>
      </c>
      <c r="W12" s="2"/>
      <c r="X12" s="2"/>
      <c r="Y12" s="18"/>
      <c r="Z12" s="84"/>
      <c r="AA12" s="18"/>
      <c r="AJ12" s="89">
        <v>500</v>
      </c>
      <c r="AK12" s="89">
        <v>500</v>
      </c>
      <c r="AL12" s="89">
        <v>500</v>
      </c>
      <c r="AM12" s="89"/>
    </row>
    <row r="13" spans="1:39" hidden="1">
      <c r="M13" s="89">
        <v>550</v>
      </c>
      <c r="P13" s="72">
        <v>520</v>
      </c>
      <c r="Q13" s="72"/>
      <c r="R13" s="72">
        <v>520</v>
      </c>
      <c r="S13" s="72">
        <v>550</v>
      </c>
      <c r="T13" s="72">
        <v>550</v>
      </c>
      <c r="U13" s="72">
        <v>520</v>
      </c>
      <c r="V13" s="74">
        <v>550</v>
      </c>
      <c r="W13" s="2"/>
      <c r="X13" s="2"/>
      <c r="Y13" s="18"/>
      <c r="Z13" s="84"/>
      <c r="AA13" s="18"/>
      <c r="AJ13" s="89">
        <v>520</v>
      </c>
      <c r="AK13" s="89">
        <v>520</v>
      </c>
      <c r="AL13" s="89">
        <v>520</v>
      </c>
      <c r="AM13" s="89"/>
    </row>
    <row r="14" spans="1:39" hidden="1">
      <c r="M14" s="89">
        <v>600</v>
      </c>
      <c r="P14" s="72">
        <v>550</v>
      </c>
      <c r="Q14" s="94"/>
      <c r="R14" s="94">
        <v>550</v>
      </c>
      <c r="S14" s="94">
        <v>580</v>
      </c>
      <c r="T14" s="94">
        <v>580</v>
      </c>
      <c r="U14" s="94">
        <v>550</v>
      </c>
      <c r="V14" s="226">
        <v>580</v>
      </c>
      <c r="W14" s="2"/>
      <c r="X14" s="2"/>
      <c r="Y14" s="18"/>
      <c r="Z14" s="84"/>
      <c r="AA14" s="18"/>
      <c r="AJ14" s="89">
        <v>550</v>
      </c>
      <c r="AK14" s="89">
        <v>550</v>
      </c>
      <c r="AL14" s="89">
        <v>550</v>
      </c>
      <c r="AM14" s="89"/>
    </row>
    <row r="15" spans="1:39" hidden="1">
      <c r="P15" s="94">
        <v>580</v>
      </c>
      <c r="Q15" s="94"/>
      <c r="R15" s="94">
        <v>600</v>
      </c>
      <c r="S15" s="94">
        <v>600</v>
      </c>
      <c r="T15" s="94">
        <v>600</v>
      </c>
      <c r="U15" s="94">
        <v>580</v>
      </c>
      <c r="V15" s="226">
        <v>600</v>
      </c>
      <c r="W15" s="2"/>
      <c r="X15" s="2"/>
      <c r="Y15" s="18"/>
      <c r="Z15" s="84"/>
      <c r="AA15" s="18"/>
      <c r="AJ15" s="89">
        <v>600</v>
      </c>
      <c r="AK15" s="89">
        <v>600</v>
      </c>
      <c r="AL15" s="89">
        <v>600</v>
      </c>
      <c r="AM15" s="89"/>
    </row>
    <row r="16" spans="1:39" hidden="1">
      <c r="P16" s="94">
        <v>600</v>
      </c>
      <c r="R16" s="94">
        <v>650</v>
      </c>
      <c r="S16" s="129">
        <v>650</v>
      </c>
      <c r="T16" s="94">
        <v>650</v>
      </c>
      <c r="U16" s="94">
        <v>600</v>
      </c>
      <c r="V16" s="226">
        <v>650</v>
      </c>
      <c r="W16" s="2"/>
      <c r="X16" s="2"/>
      <c r="Y16" s="18"/>
      <c r="Z16" s="84"/>
      <c r="AA16" s="18"/>
    </row>
    <row r="17" spans="16:27" hidden="1">
      <c r="P17" s="94">
        <v>650</v>
      </c>
      <c r="R17" s="94">
        <v>700</v>
      </c>
      <c r="S17" s="129">
        <v>700</v>
      </c>
      <c r="T17" s="94">
        <v>700</v>
      </c>
      <c r="U17" s="94"/>
      <c r="V17" s="226">
        <v>700</v>
      </c>
      <c r="W17" s="2"/>
      <c r="X17" s="2"/>
      <c r="Y17" s="18"/>
      <c r="Z17" s="84"/>
      <c r="AA17" s="18"/>
    </row>
    <row r="18" spans="16:27" hidden="1">
      <c r="P18" s="94">
        <v>700</v>
      </c>
      <c r="R18" s="94">
        <v>750</v>
      </c>
      <c r="S18" s="129">
        <v>750</v>
      </c>
      <c r="T18" s="94">
        <v>750</v>
      </c>
      <c r="U18" s="94"/>
      <c r="V18" s="226">
        <v>750</v>
      </c>
      <c r="W18" s="2"/>
      <c r="X18" s="2"/>
      <c r="Y18" s="18"/>
      <c r="Z18" s="84"/>
      <c r="AA18" s="18"/>
    </row>
    <row r="19" spans="16:27" hidden="1">
      <c r="P19" s="94">
        <v>750</v>
      </c>
      <c r="S19" s="129">
        <v>800</v>
      </c>
      <c r="U19" s="94"/>
      <c r="W19" s="2"/>
      <c r="X19" s="2"/>
      <c r="Y19" s="18"/>
      <c r="Z19" s="84"/>
      <c r="AA19" s="18"/>
    </row>
    <row r="20" spans="16:27" hidden="1">
      <c r="S20" s="129">
        <v>850</v>
      </c>
      <c r="W20" s="2"/>
      <c r="X20" s="2"/>
      <c r="Y20" s="18"/>
      <c r="Z20" s="84"/>
      <c r="AA20" s="18"/>
    </row>
    <row r="21" spans="16:27" hidden="1">
      <c r="S21" s="129">
        <v>900</v>
      </c>
      <c r="W21" s="2"/>
      <c r="X21" s="2"/>
      <c r="Y21" s="18"/>
      <c r="Z21" s="84"/>
      <c r="AA21" s="18"/>
    </row>
    <row r="22" spans="16:27" ht="13.8" hidden="1" thickBot="1">
      <c r="W22" s="2"/>
      <c r="X22" s="2"/>
      <c r="Y22" s="18"/>
      <c r="Z22" s="84"/>
      <c r="AA22" s="18"/>
    </row>
    <row r="23" spans="16:27" hidden="1">
      <c r="P23" s="95" t="s">
        <v>31</v>
      </c>
      <c r="Q23" s="96" t="str">
        <f>IF(MODULO!U15="NO",MODULO!$U$16,"")</f>
        <v/>
      </c>
      <c r="R23" t="s">
        <v>93</v>
      </c>
      <c r="W23" s="2"/>
      <c r="X23" s="2"/>
      <c r="Y23" s="18"/>
      <c r="Z23" s="84"/>
    </row>
    <row r="24" spans="16:27" hidden="1">
      <c r="P24" s="97"/>
      <c r="Q24" s="588" t="str">
        <f>IF(AND($Q$23=""),$Q$26,IF(AND($Q$26=""),$Q$23,""))</f>
        <v/>
      </c>
      <c r="W24" s="2"/>
      <c r="X24" s="2"/>
      <c r="Y24" s="18"/>
      <c r="Z24" s="18"/>
    </row>
    <row r="25" spans="16:27" hidden="1">
      <c r="P25" s="97"/>
      <c r="Q25" s="589"/>
      <c r="W25" s="2"/>
      <c r="X25" s="2"/>
      <c r="Y25" s="18"/>
      <c r="Z25" s="18"/>
    </row>
    <row r="26" spans="16:27" ht="13.8" hidden="1" thickBot="1">
      <c r="P26" s="98" t="s">
        <v>53</v>
      </c>
      <c r="Q26" s="99" t="str">
        <f>IF(MODULO!$U$15="SI",MODULO!$AP$9,"")</f>
        <v/>
      </c>
      <c r="R26" t="s">
        <v>92</v>
      </c>
      <c r="W26" s="2"/>
      <c r="X26" s="2"/>
      <c r="Y26" s="18"/>
      <c r="Z26" s="18"/>
    </row>
    <row r="27" spans="16:27" ht="13.8" hidden="1" thickBot="1">
      <c r="Q27" s="99" t="str">
        <f>IF(MODULO!$U$15="SI",MODULO!$U$16,"")</f>
        <v/>
      </c>
      <c r="W27" s="2"/>
      <c r="X27" s="2"/>
      <c r="Y27" s="18"/>
      <c r="Z27" s="18"/>
    </row>
    <row r="28" spans="16:27" hidden="1">
      <c r="W28" s="2"/>
      <c r="X28" s="2"/>
      <c r="Y28" s="18"/>
      <c r="Z28" s="18"/>
    </row>
    <row r="29" spans="16:27" hidden="1">
      <c r="W29" s="2"/>
      <c r="X29" s="2"/>
      <c r="Y29" s="18"/>
      <c r="Z29" s="18"/>
    </row>
    <row r="30" spans="16:27" hidden="1"/>
    <row r="31" spans="16:27" hidden="1"/>
    <row r="32" spans="16:27" hidden="1"/>
    <row r="33" spans="1:39" ht="13.8" hidden="1" thickBot="1"/>
    <row r="34" spans="1:39" ht="14.4" hidden="1" thickBot="1">
      <c r="A34" s="78" t="s">
        <v>83</v>
      </c>
      <c r="B34" s="590" t="s">
        <v>80</v>
      </c>
      <c r="C34" s="592"/>
      <c r="D34" s="590" t="s">
        <v>81</v>
      </c>
      <c r="E34" s="592"/>
      <c r="F34" s="590" t="s">
        <v>78</v>
      </c>
      <c r="G34" s="591"/>
      <c r="H34" s="591"/>
      <c r="I34" s="592"/>
      <c r="J34" s="79" t="s">
        <v>56</v>
      </c>
      <c r="L34" s="2"/>
      <c r="M34" s="590" t="s">
        <v>46</v>
      </c>
      <c r="N34" s="591"/>
      <c r="O34" s="591"/>
      <c r="P34" s="591"/>
      <c r="Q34" s="591"/>
      <c r="R34" s="591"/>
      <c r="S34" s="591"/>
      <c r="T34" s="592"/>
      <c r="U34" s="84"/>
      <c r="V34" s="84"/>
      <c r="W34" s="18"/>
      <c r="X34" s="18"/>
      <c r="Y34" s="598"/>
      <c r="Z34" s="598"/>
      <c r="AI34" s="84"/>
      <c r="AJ34" s="84"/>
      <c r="AK34" s="84"/>
      <c r="AL34" s="84"/>
      <c r="AM34" s="84"/>
    </row>
    <row r="35" spans="1:39" ht="12.75" hidden="1" customHeight="1" thickBot="1">
      <c r="A35" s="80"/>
      <c r="B35" s="593" t="s">
        <v>82</v>
      </c>
      <c r="C35" s="594"/>
      <c r="D35" s="600" t="s">
        <v>82</v>
      </c>
      <c r="E35" s="594"/>
      <c r="F35" s="600" t="s">
        <v>82</v>
      </c>
      <c r="G35" s="597"/>
      <c r="H35" s="597"/>
      <c r="I35" s="594"/>
      <c r="J35" s="81" t="s">
        <v>82</v>
      </c>
      <c r="K35" s="593" t="s">
        <v>82</v>
      </c>
      <c r="L35" s="597"/>
      <c r="M35" s="593" t="s">
        <v>82</v>
      </c>
      <c r="N35" s="597"/>
      <c r="O35" s="593" t="s">
        <v>82</v>
      </c>
      <c r="P35" s="597"/>
      <c r="Q35" s="593" t="s">
        <v>82</v>
      </c>
      <c r="R35" s="597"/>
      <c r="S35" s="593"/>
      <c r="T35" s="597"/>
      <c r="U35" s="84"/>
      <c r="V35" s="84"/>
      <c r="W35" s="18"/>
      <c r="X35" s="18"/>
      <c r="Y35" s="392"/>
      <c r="Z35" s="392"/>
      <c r="AI35" s="84"/>
      <c r="AJ35" s="84"/>
      <c r="AK35" s="84"/>
      <c r="AL35" s="84"/>
      <c r="AM35" s="84"/>
    </row>
    <row r="36" spans="1:39" ht="12.75" hidden="1" customHeight="1" thickBot="1">
      <c r="A36" s="71"/>
      <c r="B36" s="82" t="s">
        <v>105</v>
      </c>
      <c r="C36" s="82"/>
      <c r="D36" s="65" t="s">
        <v>101</v>
      </c>
      <c r="E36" s="65" t="s">
        <v>102</v>
      </c>
      <c r="F36" s="65" t="s">
        <v>104</v>
      </c>
      <c r="G36" s="83" t="s">
        <v>103</v>
      </c>
      <c r="H36" s="83"/>
      <c r="I36" s="65" t="s">
        <v>85</v>
      </c>
      <c r="J36" s="77" t="s">
        <v>90</v>
      </c>
      <c r="K36" s="82" t="s">
        <v>106</v>
      </c>
      <c r="L36" s="82"/>
      <c r="M36" s="595" t="s">
        <v>150</v>
      </c>
      <c r="N36" s="596"/>
      <c r="O36" s="595" t="s">
        <v>162</v>
      </c>
      <c r="P36" s="596"/>
      <c r="Q36" s="595" t="s">
        <v>151</v>
      </c>
      <c r="R36" s="596"/>
      <c r="S36" s="595"/>
      <c r="T36" s="596"/>
      <c r="U36" s="84"/>
      <c r="V36" s="84"/>
      <c r="W36" s="18"/>
      <c r="X36" s="18"/>
      <c r="Y36" s="257"/>
      <c r="Z36" s="257"/>
      <c r="AI36" s="84"/>
      <c r="AJ36" s="84"/>
      <c r="AK36" s="84"/>
      <c r="AL36" s="84"/>
      <c r="AM36" s="84"/>
    </row>
    <row r="37" spans="1:39" ht="12.75" hidden="1" customHeight="1">
      <c r="A37" s="71">
        <v>250</v>
      </c>
      <c r="B37" s="68"/>
      <c r="C37" s="66"/>
      <c r="D37" s="66">
        <v>30</v>
      </c>
      <c r="E37" s="66">
        <v>30</v>
      </c>
      <c r="F37" s="66">
        <v>25</v>
      </c>
      <c r="G37" s="66">
        <v>30</v>
      </c>
      <c r="H37" s="66"/>
      <c r="I37" s="66">
        <v>30</v>
      </c>
      <c r="J37" s="66">
        <v>25</v>
      </c>
      <c r="K37" s="68"/>
      <c r="L37" s="66"/>
      <c r="M37" s="66">
        <v>40</v>
      </c>
      <c r="N37" s="66"/>
      <c r="O37" s="66">
        <v>40</v>
      </c>
      <c r="P37" s="66"/>
      <c r="Q37" s="66"/>
      <c r="R37" s="66"/>
      <c r="S37" s="66"/>
      <c r="T37" s="66"/>
      <c r="U37" s="84"/>
      <c r="V37" s="18"/>
      <c r="X37" s="18"/>
      <c r="Y37" s="84"/>
      <c r="Z37" s="84"/>
      <c r="AI37" s="84"/>
      <c r="AJ37" s="84"/>
      <c r="AK37" s="84"/>
      <c r="AL37" s="84"/>
      <c r="AM37" s="84"/>
    </row>
    <row r="38" spans="1:39" ht="12.75" hidden="1" customHeight="1">
      <c r="A38" s="71">
        <v>270</v>
      </c>
      <c r="B38" s="68"/>
      <c r="C38" s="66"/>
      <c r="D38" s="66"/>
      <c r="E38" s="66"/>
      <c r="F38" s="66"/>
      <c r="G38" s="66"/>
      <c r="H38" s="66"/>
      <c r="I38" s="66"/>
      <c r="J38" s="66"/>
      <c r="K38" s="68"/>
      <c r="L38" s="66"/>
      <c r="M38" s="66">
        <v>40</v>
      </c>
      <c r="N38" s="66"/>
      <c r="O38" s="66">
        <v>40</v>
      </c>
      <c r="P38" s="66"/>
      <c r="Q38" s="66">
        <v>40</v>
      </c>
      <c r="R38" s="66"/>
      <c r="S38" s="66"/>
      <c r="T38" s="66"/>
      <c r="U38" s="84"/>
      <c r="V38" s="18"/>
      <c r="X38" s="18"/>
      <c r="Y38" s="84"/>
      <c r="Z38" s="84"/>
      <c r="AI38" s="84"/>
      <c r="AJ38" s="84"/>
      <c r="AK38" s="84"/>
      <c r="AL38" s="84"/>
      <c r="AM38" s="84"/>
    </row>
    <row r="39" spans="1:39" hidden="1">
      <c r="A39" s="72">
        <v>280</v>
      </c>
      <c r="B39" s="68"/>
      <c r="C39" s="66"/>
      <c r="D39" s="66"/>
      <c r="E39" s="66"/>
      <c r="F39" s="66"/>
      <c r="G39" s="66">
        <v>30</v>
      </c>
      <c r="H39" s="66"/>
      <c r="I39" s="67"/>
      <c r="J39" s="67"/>
      <c r="K39" s="68"/>
      <c r="L39" s="66"/>
      <c r="M39" s="66"/>
      <c r="N39" s="66"/>
      <c r="O39" s="66"/>
      <c r="P39" s="66"/>
      <c r="Q39" s="66"/>
      <c r="R39" s="66"/>
      <c r="S39" s="66"/>
      <c r="T39" s="66"/>
      <c r="U39" s="84"/>
      <c r="V39" s="18"/>
      <c r="X39" s="84"/>
      <c r="Y39" s="84"/>
      <c r="Z39" s="84"/>
      <c r="AI39" s="84"/>
      <c r="AJ39" s="84"/>
      <c r="AK39" s="84"/>
      <c r="AL39" s="84"/>
      <c r="AM39" s="84"/>
    </row>
    <row r="40" spans="1:39" hidden="1">
      <c r="A40" s="72">
        <v>300</v>
      </c>
      <c r="B40" s="68">
        <v>40</v>
      </c>
      <c r="C40" s="66"/>
      <c r="D40" s="66">
        <v>30</v>
      </c>
      <c r="E40" s="66">
        <v>30</v>
      </c>
      <c r="F40" s="66">
        <v>25</v>
      </c>
      <c r="G40" s="66">
        <v>30</v>
      </c>
      <c r="H40" s="66"/>
      <c r="I40" s="66">
        <v>30</v>
      </c>
      <c r="J40" s="66">
        <v>25</v>
      </c>
      <c r="K40" s="68">
        <v>40</v>
      </c>
      <c r="L40" s="66"/>
      <c r="M40" s="66">
        <v>40</v>
      </c>
      <c r="N40" s="66"/>
      <c r="O40" s="66">
        <v>40</v>
      </c>
      <c r="P40" s="66"/>
      <c r="Q40" s="66">
        <v>40</v>
      </c>
      <c r="R40" s="66"/>
      <c r="S40" s="66"/>
      <c r="T40" s="66"/>
      <c r="U40" s="84"/>
      <c r="V40" s="18"/>
      <c r="X40" s="84"/>
      <c r="Y40" s="84"/>
      <c r="Z40" s="84"/>
      <c r="AI40" s="84"/>
      <c r="AJ40" s="84"/>
      <c r="AK40" s="84"/>
      <c r="AL40" s="84"/>
      <c r="AM40" s="84"/>
    </row>
    <row r="41" spans="1:39" hidden="1">
      <c r="A41" s="72">
        <v>320</v>
      </c>
      <c r="B41" s="68"/>
      <c r="C41" s="66"/>
      <c r="D41" s="66"/>
      <c r="E41" s="66"/>
      <c r="F41" s="66"/>
      <c r="G41" s="66">
        <v>30</v>
      </c>
      <c r="H41" s="66"/>
      <c r="I41" s="67"/>
      <c r="J41" s="67"/>
      <c r="K41" s="68"/>
      <c r="L41" s="66"/>
      <c r="M41" s="66">
        <v>40</v>
      </c>
      <c r="N41" s="66"/>
      <c r="O41" s="66">
        <v>40</v>
      </c>
      <c r="P41" s="66"/>
      <c r="Q41" s="66">
        <v>40</v>
      </c>
      <c r="R41" s="66"/>
      <c r="S41" s="66"/>
      <c r="T41" s="66"/>
      <c r="U41" s="84"/>
      <c r="V41" s="18"/>
      <c r="X41" s="84"/>
      <c r="Y41" s="84"/>
      <c r="Z41" s="84"/>
      <c r="AI41" s="84"/>
      <c r="AJ41" s="84"/>
      <c r="AK41" s="84"/>
      <c r="AL41" s="84"/>
      <c r="AM41" s="84"/>
    </row>
    <row r="42" spans="1:39" hidden="1">
      <c r="A42" s="72">
        <v>350</v>
      </c>
      <c r="B42" s="68">
        <v>40</v>
      </c>
      <c r="C42" s="66"/>
      <c r="D42" s="66">
        <v>30</v>
      </c>
      <c r="E42" s="66">
        <v>30</v>
      </c>
      <c r="F42" s="66">
        <v>25</v>
      </c>
      <c r="G42" s="66">
        <v>30</v>
      </c>
      <c r="H42" s="66"/>
      <c r="I42" s="66">
        <v>30</v>
      </c>
      <c r="J42" s="66">
        <v>25</v>
      </c>
      <c r="K42" s="68">
        <v>40</v>
      </c>
      <c r="L42" s="66"/>
      <c r="M42" s="66">
        <v>40</v>
      </c>
      <c r="N42" s="66"/>
      <c r="O42" s="66">
        <v>40</v>
      </c>
      <c r="P42" s="66"/>
      <c r="Q42" s="66">
        <v>40</v>
      </c>
      <c r="R42" s="66"/>
      <c r="S42" s="66"/>
      <c r="T42" s="66"/>
      <c r="U42" s="84"/>
      <c r="V42" s="18"/>
      <c r="X42" s="84"/>
      <c r="Y42" s="84"/>
      <c r="Z42" s="84"/>
      <c r="AI42" s="84"/>
      <c r="AJ42" s="84"/>
      <c r="AK42" s="84"/>
      <c r="AL42" s="84"/>
      <c r="AM42" s="84"/>
    </row>
    <row r="43" spans="1:39" hidden="1">
      <c r="A43" s="72">
        <v>380</v>
      </c>
      <c r="B43" s="68"/>
      <c r="C43" s="66"/>
      <c r="D43" s="66"/>
      <c r="E43" s="66"/>
      <c r="F43" s="66"/>
      <c r="G43" s="66">
        <v>30</v>
      </c>
      <c r="H43" s="66"/>
      <c r="I43" s="67"/>
      <c r="J43" s="67"/>
      <c r="K43" s="68"/>
      <c r="L43" s="66"/>
      <c r="M43" s="66">
        <v>40</v>
      </c>
      <c r="N43" s="66"/>
      <c r="O43" s="66">
        <v>40</v>
      </c>
      <c r="P43" s="66"/>
      <c r="Q43" s="66">
        <v>40</v>
      </c>
      <c r="R43" s="66"/>
      <c r="S43" s="66"/>
      <c r="T43" s="66"/>
      <c r="V43" s="18"/>
      <c r="X43" s="84"/>
      <c r="Y43" s="84"/>
      <c r="Z43" s="84"/>
    </row>
    <row r="44" spans="1:39" hidden="1">
      <c r="A44" s="72">
        <v>400</v>
      </c>
      <c r="B44" s="68">
        <v>40</v>
      </c>
      <c r="C44" s="66"/>
      <c r="D44" s="66">
        <v>30</v>
      </c>
      <c r="E44" s="66">
        <v>30</v>
      </c>
      <c r="F44" s="66">
        <v>25</v>
      </c>
      <c r="G44" s="66">
        <v>30</v>
      </c>
      <c r="H44" s="66"/>
      <c r="I44" s="66">
        <v>30</v>
      </c>
      <c r="J44" s="66">
        <v>25</v>
      </c>
      <c r="K44" s="68">
        <v>40</v>
      </c>
      <c r="L44" s="66"/>
      <c r="M44" s="66">
        <v>40</v>
      </c>
      <c r="N44" s="66"/>
      <c r="O44" s="66">
        <v>40</v>
      </c>
      <c r="P44" s="66"/>
      <c r="Q44" s="66">
        <v>40</v>
      </c>
      <c r="R44" s="66"/>
      <c r="S44" s="66"/>
      <c r="T44" s="66"/>
      <c r="V44" s="18"/>
      <c r="X44" s="84"/>
      <c r="Y44" s="84"/>
      <c r="Z44" s="84"/>
    </row>
    <row r="45" spans="1:39" hidden="1">
      <c r="A45" s="72">
        <v>420</v>
      </c>
      <c r="B45" s="69"/>
      <c r="C45" s="67"/>
      <c r="D45" s="67"/>
      <c r="E45" s="67"/>
      <c r="F45" s="66"/>
      <c r="G45" s="66">
        <v>30</v>
      </c>
      <c r="H45" s="66"/>
      <c r="I45" s="67"/>
      <c r="J45" s="67"/>
      <c r="K45" s="69"/>
      <c r="L45" s="67"/>
      <c r="M45" s="66">
        <v>40</v>
      </c>
      <c r="N45" s="67"/>
      <c r="O45" s="66">
        <v>40</v>
      </c>
      <c r="P45" s="67"/>
      <c r="Q45" s="66">
        <v>40</v>
      </c>
      <c r="R45" s="67"/>
      <c r="S45" s="66"/>
      <c r="T45" s="67"/>
      <c r="V45" s="18"/>
      <c r="X45" s="84"/>
    </row>
    <row r="46" spans="1:39" hidden="1">
      <c r="A46" s="72">
        <v>450</v>
      </c>
      <c r="B46" s="70">
        <v>40</v>
      </c>
      <c r="C46" s="64"/>
      <c r="D46" s="64">
        <v>30</v>
      </c>
      <c r="E46" s="64">
        <v>30</v>
      </c>
      <c r="F46" s="66">
        <v>25</v>
      </c>
      <c r="G46" s="66">
        <v>30</v>
      </c>
      <c r="H46" s="66"/>
      <c r="I46" s="66">
        <v>30</v>
      </c>
      <c r="J46" s="66">
        <v>25</v>
      </c>
      <c r="K46" s="70">
        <v>40</v>
      </c>
      <c r="L46" s="64"/>
      <c r="M46" s="64">
        <v>40</v>
      </c>
      <c r="N46" s="64"/>
      <c r="O46" s="64">
        <v>40</v>
      </c>
      <c r="P46" s="64"/>
      <c r="Q46" s="64">
        <v>40</v>
      </c>
      <c r="R46" s="64"/>
      <c r="S46" s="64"/>
      <c r="T46" s="64"/>
      <c r="V46" s="18"/>
      <c r="X46" s="84"/>
      <c r="Y46" s="18"/>
      <c r="Z46" s="18"/>
    </row>
    <row r="47" spans="1:39" hidden="1">
      <c r="A47" s="72">
        <v>480</v>
      </c>
      <c r="B47" s="70"/>
      <c r="C47" s="64"/>
      <c r="D47" s="64"/>
      <c r="E47" s="64"/>
      <c r="F47" s="66"/>
      <c r="G47" s="66">
        <v>30</v>
      </c>
      <c r="H47" s="66"/>
      <c r="I47" s="67"/>
      <c r="J47" s="67"/>
      <c r="K47" s="70"/>
      <c r="L47" s="64"/>
      <c r="M47" s="64">
        <v>40</v>
      </c>
      <c r="N47" s="64"/>
      <c r="O47" s="64">
        <v>40</v>
      </c>
      <c r="P47" s="64"/>
      <c r="Q47" s="64">
        <v>40</v>
      </c>
      <c r="R47" s="64"/>
      <c r="S47" s="64"/>
      <c r="T47" s="64"/>
      <c r="V47" s="18"/>
      <c r="X47" s="84"/>
      <c r="Y47" s="18"/>
      <c r="Z47" s="18"/>
    </row>
    <row r="48" spans="1:39" hidden="1">
      <c r="A48" s="72">
        <v>500</v>
      </c>
      <c r="B48" s="68">
        <v>40</v>
      </c>
      <c r="C48" s="66"/>
      <c r="D48" s="66">
        <v>30</v>
      </c>
      <c r="E48" s="66">
        <v>30</v>
      </c>
      <c r="F48" s="66">
        <v>25</v>
      </c>
      <c r="G48" s="66">
        <v>30</v>
      </c>
      <c r="H48" s="66"/>
      <c r="I48" s="66">
        <v>30</v>
      </c>
      <c r="J48" s="66">
        <v>25</v>
      </c>
      <c r="K48" s="68">
        <v>40</v>
      </c>
      <c r="L48" s="66"/>
      <c r="M48" s="66">
        <v>40</v>
      </c>
      <c r="N48" s="66"/>
      <c r="O48" s="66">
        <v>40</v>
      </c>
      <c r="P48" s="66"/>
      <c r="Q48" s="66">
        <v>40</v>
      </c>
      <c r="R48" s="66"/>
      <c r="S48" s="66"/>
      <c r="T48" s="66"/>
      <c r="V48" s="18"/>
      <c r="X48" s="84"/>
      <c r="Y48" s="84"/>
      <c r="Z48" s="84"/>
    </row>
    <row r="49" spans="1:26" hidden="1">
      <c r="A49" s="72">
        <v>520</v>
      </c>
      <c r="B49" s="68"/>
      <c r="C49" s="66"/>
      <c r="D49" s="66"/>
      <c r="E49" s="66"/>
      <c r="F49" s="66"/>
      <c r="G49" s="66"/>
      <c r="H49" s="66"/>
      <c r="I49" s="66"/>
      <c r="J49" s="66"/>
      <c r="K49" s="68"/>
      <c r="L49" s="66"/>
      <c r="M49" s="66">
        <v>40</v>
      </c>
      <c r="N49" s="66"/>
      <c r="O49" s="66">
        <v>40</v>
      </c>
      <c r="P49" s="66"/>
      <c r="Q49" s="66">
        <v>40</v>
      </c>
      <c r="R49" s="66"/>
      <c r="S49" s="66"/>
      <c r="T49" s="66"/>
      <c r="V49" s="18"/>
      <c r="X49" s="84"/>
      <c r="Y49" s="84"/>
      <c r="Z49" s="84"/>
    </row>
    <row r="50" spans="1:26" hidden="1">
      <c r="A50" s="72">
        <v>550</v>
      </c>
      <c r="B50" s="68">
        <v>40</v>
      </c>
      <c r="C50" s="66"/>
      <c r="D50" s="66">
        <v>30</v>
      </c>
      <c r="E50" s="66">
        <v>30</v>
      </c>
      <c r="F50" s="66">
        <v>25</v>
      </c>
      <c r="G50" s="66">
        <v>30</v>
      </c>
      <c r="H50" s="66"/>
      <c r="I50" s="66">
        <v>30</v>
      </c>
      <c r="J50" s="67"/>
      <c r="K50" s="68">
        <v>40</v>
      </c>
      <c r="L50" s="66"/>
      <c r="M50" s="66">
        <v>40</v>
      </c>
      <c r="N50" s="66"/>
      <c r="O50" s="66">
        <v>40</v>
      </c>
      <c r="P50" s="66"/>
      <c r="Q50" s="66">
        <v>40</v>
      </c>
      <c r="R50" s="66"/>
      <c r="S50" s="66"/>
      <c r="T50" s="66"/>
      <c r="V50" s="18"/>
      <c r="X50" s="84"/>
      <c r="Y50" s="84"/>
      <c r="Z50" s="84"/>
    </row>
    <row r="51" spans="1:26" ht="13.8" hidden="1" thickBot="1">
      <c r="A51" s="73">
        <v>600</v>
      </c>
      <c r="B51" s="68">
        <v>40</v>
      </c>
      <c r="C51" s="66"/>
      <c r="D51" s="66">
        <v>30</v>
      </c>
      <c r="E51" s="66">
        <v>30</v>
      </c>
      <c r="F51" s="66"/>
      <c r="G51" s="66">
        <v>30</v>
      </c>
      <c r="H51" s="66"/>
      <c r="I51" s="67"/>
      <c r="J51" s="67"/>
      <c r="K51" s="68">
        <v>40</v>
      </c>
      <c r="L51" s="66"/>
      <c r="M51" s="66">
        <v>40</v>
      </c>
      <c r="N51" s="66"/>
      <c r="O51" s="66">
        <v>40</v>
      </c>
      <c r="P51" s="66"/>
      <c r="Q51" s="66">
        <v>40</v>
      </c>
      <c r="R51" s="66"/>
      <c r="S51" s="66"/>
      <c r="T51" s="66"/>
      <c r="V51" s="18"/>
      <c r="X51" s="84"/>
      <c r="Y51" s="84"/>
      <c r="Z51" s="84"/>
    </row>
    <row r="52" spans="1:26" hidden="1">
      <c r="A52" s="84"/>
      <c r="V52" s="18"/>
      <c r="X52" s="84"/>
    </row>
    <row r="53" spans="1:26" hidden="1">
      <c r="A53" s="84"/>
      <c r="V53" s="18"/>
      <c r="X53" s="84"/>
    </row>
    <row r="54" spans="1:26" hidden="1">
      <c r="A54" s="84"/>
      <c r="W54" s="84"/>
      <c r="X54" s="84"/>
    </row>
    <row r="55" spans="1:26" ht="13.8" hidden="1" thickBot="1">
      <c r="A55" s="84"/>
      <c r="W55" s="84"/>
      <c r="X55" s="84"/>
    </row>
    <row r="56" spans="1:26" ht="14.4" hidden="1" thickBot="1">
      <c r="A56" s="78" t="s">
        <v>83</v>
      </c>
      <c r="B56" s="590" t="s">
        <v>80</v>
      </c>
      <c r="C56" s="592"/>
      <c r="D56" s="590" t="s">
        <v>81</v>
      </c>
      <c r="E56" s="592"/>
      <c r="F56" s="590" t="s">
        <v>78</v>
      </c>
      <c r="G56" s="591"/>
      <c r="H56" s="591"/>
      <c r="I56" s="592"/>
      <c r="J56" s="79" t="s">
        <v>56</v>
      </c>
      <c r="M56" s="590" t="s">
        <v>46</v>
      </c>
      <c r="N56" s="591"/>
      <c r="O56" s="591"/>
      <c r="P56" s="591"/>
      <c r="Q56" s="591"/>
      <c r="R56" s="591"/>
      <c r="S56" s="591"/>
      <c r="T56" s="592"/>
      <c r="W56" s="18"/>
      <c r="X56" s="18"/>
      <c r="Y56" s="598"/>
      <c r="Z56" s="598"/>
    </row>
    <row r="57" spans="1:26" ht="12.75" hidden="1" customHeight="1" thickBot="1">
      <c r="A57" s="80"/>
      <c r="B57" s="593" t="s">
        <v>82</v>
      </c>
      <c r="C57" s="594"/>
      <c r="D57" s="600" t="s">
        <v>82</v>
      </c>
      <c r="E57" s="594"/>
      <c r="F57" s="600" t="s">
        <v>82</v>
      </c>
      <c r="G57" s="597"/>
      <c r="H57" s="597"/>
      <c r="I57" s="594"/>
      <c r="J57" s="81" t="s">
        <v>82</v>
      </c>
      <c r="K57" s="593" t="s">
        <v>82</v>
      </c>
      <c r="L57" s="594"/>
      <c r="M57" s="593" t="s">
        <v>82</v>
      </c>
      <c r="N57" s="597"/>
      <c r="O57" s="593" t="s">
        <v>82</v>
      </c>
      <c r="P57" s="597"/>
      <c r="Q57" s="593" t="s">
        <v>82</v>
      </c>
      <c r="R57" s="597"/>
      <c r="S57" s="593"/>
      <c r="T57" s="597"/>
      <c r="W57" s="18"/>
      <c r="X57" s="18"/>
      <c r="Y57" s="392"/>
      <c r="Z57" s="392"/>
    </row>
    <row r="58" spans="1:26" ht="12.9" hidden="1" customHeight="1" thickBot="1">
      <c r="A58" s="71"/>
      <c r="B58" s="82"/>
      <c r="C58" s="85" t="s">
        <v>105</v>
      </c>
      <c r="D58" s="65" t="s">
        <v>101</v>
      </c>
      <c r="E58" s="65" t="s">
        <v>102</v>
      </c>
      <c r="F58" s="65" t="s">
        <v>104</v>
      </c>
      <c r="G58" s="83"/>
      <c r="H58" s="83" t="s">
        <v>103</v>
      </c>
      <c r="I58" s="65" t="s">
        <v>85</v>
      </c>
      <c r="J58" s="77" t="s">
        <v>90</v>
      </c>
      <c r="K58" s="82"/>
      <c r="L58" s="85" t="s">
        <v>106</v>
      </c>
      <c r="M58" s="595" t="s">
        <v>150</v>
      </c>
      <c r="N58" s="596"/>
      <c r="O58" s="595" t="s">
        <v>162</v>
      </c>
      <c r="P58" s="596"/>
      <c r="Q58" s="595" t="s">
        <v>151</v>
      </c>
      <c r="R58" s="596"/>
      <c r="S58" s="595"/>
      <c r="T58" s="596"/>
      <c r="W58" s="18"/>
      <c r="X58" s="18"/>
      <c r="Y58" s="257"/>
      <c r="Z58" s="258"/>
    </row>
    <row r="59" spans="1:26" ht="12.75" hidden="1" customHeight="1">
      <c r="A59" s="71">
        <v>250</v>
      </c>
      <c r="B59" s="68"/>
      <c r="C59" s="66"/>
      <c r="D59" s="66"/>
      <c r="E59" s="66"/>
      <c r="F59" s="66"/>
      <c r="G59" s="66"/>
      <c r="H59" s="66"/>
      <c r="I59" s="66"/>
      <c r="J59" s="66"/>
      <c r="K59" s="68"/>
      <c r="L59" s="66"/>
      <c r="M59" s="66"/>
      <c r="N59" s="66"/>
      <c r="O59" s="66"/>
      <c r="P59" s="66"/>
      <c r="Q59" s="66"/>
      <c r="R59" s="66"/>
      <c r="S59" s="66"/>
      <c r="T59" s="66"/>
      <c r="W59" s="18"/>
      <c r="X59" s="18"/>
      <c r="Y59" s="84"/>
      <c r="Z59" s="84"/>
    </row>
    <row r="60" spans="1:26" ht="12.75" hidden="1" customHeight="1">
      <c r="A60" s="71">
        <v>270</v>
      </c>
      <c r="B60" s="68"/>
      <c r="C60" s="66"/>
      <c r="D60" s="66"/>
      <c r="E60" s="66"/>
      <c r="F60" s="66"/>
      <c r="G60" s="66"/>
      <c r="H60" s="66"/>
      <c r="I60" s="66"/>
      <c r="J60" s="66"/>
      <c r="K60" s="68"/>
      <c r="L60" s="66"/>
      <c r="M60" s="66"/>
      <c r="N60" s="66"/>
      <c r="O60" s="66"/>
      <c r="P60" s="66"/>
      <c r="Q60" s="66"/>
      <c r="R60" s="66"/>
      <c r="S60" s="66"/>
      <c r="T60" s="66"/>
      <c r="W60" s="18"/>
      <c r="X60" s="18"/>
      <c r="Y60" s="84"/>
      <c r="Z60" s="84"/>
    </row>
    <row r="61" spans="1:26" hidden="1">
      <c r="A61" s="72">
        <v>280</v>
      </c>
      <c r="B61" s="68"/>
      <c r="C61" s="66"/>
      <c r="D61" s="66"/>
      <c r="E61" s="66"/>
      <c r="F61" s="66"/>
      <c r="G61" s="66"/>
      <c r="H61" s="66"/>
      <c r="I61" s="67"/>
      <c r="J61" s="67"/>
      <c r="K61" s="68"/>
      <c r="L61" s="66"/>
      <c r="M61" s="66"/>
      <c r="N61" s="66"/>
      <c r="O61" s="66"/>
      <c r="P61" s="66"/>
      <c r="Q61" s="66"/>
      <c r="R61" s="66"/>
      <c r="S61" s="66"/>
      <c r="T61" s="66"/>
      <c r="W61" s="84"/>
      <c r="X61" s="84"/>
      <c r="Y61" s="84"/>
      <c r="Z61" s="84"/>
    </row>
    <row r="62" spans="1:26" hidden="1">
      <c r="A62" s="72">
        <v>300</v>
      </c>
      <c r="B62" s="68"/>
      <c r="C62" s="66"/>
      <c r="D62" s="66"/>
      <c r="E62" s="66"/>
      <c r="F62" s="66"/>
      <c r="G62" s="66"/>
      <c r="H62" s="66"/>
      <c r="I62" s="66"/>
      <c r="J62" s="66"/>
      <c r="K62" s="68"/>
      <c r="L62" s="66"/>
      <c r="M62" s="66"/>
      <c r="N62" s="66"/>
      <c r="O62" s="66"/>
      <c r="P62" s="66"/>
      <c r="Q62" s="66"/>
      <c r="R62" s="66"/>
      <c r="S62" s="66"/>
      <c r="T62" s="66"/>
      <c r="W62" s="84"/>
      <c r="X62" s="84"/>
      <c r="Y62" s="84"/>
      <c r="Z62" s="84"/>
    </row>
    <row r="63" spans="1:26" hidden="1">
      <c r="A63" s="72">
        <v>320</v>
      </c>
      <c r="B63" s="68"/>
      <c r="C63" s="66"/>
      <c r="D63" s="66"/>
      <c r="E63" s="66"/>
      <c r="F63" s="66"/>
      <c r="G63" s="66"/>
      <c r="H63" s="66"/>
      <c r="I63" s="67"/>
      <c r="J63" s="67"/>
      <c r="K63" s="68"/>
      <c r="L63" s="66"/>
      <c r="M63" s="66"/>
      <c r="N63" s="66"/>
      <c r="O63" s="66"/>
      <c r="P63" s="66"/>
      <c r="Q63" s="66"/>
      <c r="R63" s="66"/>
      <c r="S63" s="66"/>
      <c r="T63" s="66"/>
      <c r="W63" s="84"/>
      <c r="X63" s="84"/>
      <c r="Y63" s="84"/>
      <c r="Z63" s="84"/>
    </row>
    <row r="64" spans="1:26" hidden="1">
      <c r="A64" s="72">
        <v>350</v>
      </c>
      <c r="B64" s="68"/>
      <c r="C64" s="66"/>
      <c r="D64" s="66"/>
      <c r="E64" s="66"/>
      <c r="F64" s="66"/>
      <c r="G64" s="66"/>
      <c r="H64" s="66"/>
      <c r="I64" s="66"/>
      <c r="J64" s="66"/>
      <c r="K64" s="68"/>
      <c r="L64" s="66"/>
      <c r="M64" s="66"/>
      <c r="N64" s="66"/>
      <c r="O64" s="66"/>
      <c r="P64" s="66"/>
      <c r="Q64" s="66"/>
      <c r="R64" s="66"/>
      <c r="S64" s="66"/>
      <c r="T64" s="66"/>
      <c r="W64" s="84"/>
      <c r="X64" s="84"/>
      <c r="Y64" s="84"/>
      <c r="Z64" s="84"/>
    </row>
    <row r="65" spans="1:26" hidden="1">
      <c r="A65" s="72">
        <v>380</v>
      </c>
      <c r="B65" s="68"/>
      <c r="C65" s="66"/>
      <c r="D65" s="66"/>
      <c r="E65" s="66"/>
      <c r="F65" s="66"/>
      <c r="G65" s="66"/>
      <c r="H65" s="66"/>
      <c r="I65" s="67"/>
      <c r="J65" s="67"/>
      <c r="K65" s="68"/>
      <c r="L65" s="66"/>
      <c r="M65" s="66"/>
      <c r="N65" s="66"/>
      <c r="O65" s="66"/>
      <c r="P65" s="66"/>
      <c r="Q65" s="66"/>
      <c r="R65" s="66"/>
      <c r="S65" s="66"/>
      <c r="T65" s="66"/>
      <c r="W65" s="84"/>
      <c r="X65" s="84"/>
      <c r="Y65" s="84"/>
      <c r="Z65" s="84"/>
    </row>
    <row r="66" spans="1:26" hidden="1">
      <c r="A66" s="72">
        <v>400</v>
      </c>
      <c r="B66" s="68"/>
      <c r="C66" s="66"/>
      <c r="D66" s="66"/>
      <c r="E66" s="66"/>
      <c r="F66" s="66"/>
      <c r="G66" s="66"/>
      <c r="H66" s="66"/>
      <c r="I66" s="66"/>
      <c r="J66" s="66"/>
      <c r="K66" s="68"/>
      <c r="L66" s="66"/>
      <c r="M66" s="66"/>
      <c r="N66" s="66"/>
      <c r="O66" s="66"/>
      <c r="P66" s="66"/>
      <c r="Q66" s="66"/>
      <c r="R66" s="66"/>
      <c r="S66" s="66"/>
      <c r="T66" s="66"/>
      <c r="W66" s="84"/>
      <c r="X66" s="84"/>
      <c r="Y66" s="84"/>
      <c r="Z66" s="84"/>
    </row>
    <row r="67" spans="1:26" hidden="1">
      <c r="A67" s="72">
        <v>420</v>
      </c>
      <c r="B67" s="69"/>
      <c r="C67" s="67"/>
      <c r="D67" s="67"/>
      <c r="E67" s="67"/>
      <c r="F67" s="66"/>
      <c r="G67" s="66"/>
      <c r="H67" s="66"/>
      <c r="I67" s="67"/>
      <c r="J67" s="67"/>
      <c r="K67" s="69"/>
      <c r="L67" s="67"/>
      <c r="M67" s="67"/>
      <c r="N67" s="67"/>
      <c r="O67" s="67"/>
      <c r="P67" s="67"/>
      <c r="Q67" s="67"/>
      <c r="R67" s="67"/>
      <c r="S67" s="67"/>
      <c r="T67" s="67"/>
      <c r="W67" s="84"/>
      <c r="X67" s="84"/>
    </row>
    <row r="68" spans="1:26" hidden="1">
      <c r="A68" s="72">
        <v>450</v>
      </c>
      <c r="B68" s="70"/>
      <c r="C68" s="64">
        <v>70</v>
      </c>
      <c r="D68" s="64"/>
      <c r="E68" s="64"/>
      <c r="F68" s="66"/>
      <c r="G68" s="66"/>
      <c r="H68" s="66"/>
      <c r="I68" s="66"/>
      <c r="J68" s="66"/>
      <c r="K68" s="70"/>
      <c r="L68" s="64">
        <v>70</v>
      </c>
      <c r="M68" s="64"/>
      <c r="N68" s="64"/>
      <c r="O68" s="64"/>
      <c r="P68" s="64"/>
      <c r="Q68" s="64"/>
      <c r="R68" s="64"/>
      <c r="S68" s="64"/>
      <c r="T68" s="64"/>
      <c r="W68" s="84"/>
      <c r="X68" s="84"/>
      <c r="Y68" s="18"/>
      <c r="Z68" s="18"/>
    </row>
    <row r="69" spans="1:26" hidden="1">
      <c r="A69" s="72">
        <v>480</v>
      </c>
      <c r="B69" s="70"/>
      <c r="C69" s="64"/>
      <c r="D69" s="64"/>
      <c r="E69" s="64"/>
      <c r="F69" s="66"/>
      <c r="G69" s="66"/>
      <c r="H69" s="66"/>
      <c r="I69" s="67"/>
      <c r="J69" s="67"/>
      <c r="K69" s="70"/>
      <c r="L69" s="64"/>
      <c r="M69" s="64"/>
      <c r="N69" s="64"/>
      <c r="O69" s="64"/>
      <c r="P69" s="64"/>
      <c r="Q69" s="64"/>
      <c r="R69" s="64"/>
      <c r="S69" s="64"/>
      <c r="T69" s="64"/>
      <c r="W69" s="84"/>
      <c r="X69" s="84"/>
      <c r="Y69" s="18"/>
      <c r="Z69" s="18"/>
    </row>
    <row r="70" spans="1:26" hidden="1">
      <c r="A70" s="72">
        <v>500</v>
      </c>
      <c r="B70" s="68"/>
      <c r="C70" s="66">
        <v>70</v>
      </c>
      <c r="D70" s="66"/>
      <c r="E70" s="66"/>
      <c r="F70" s="66"/>
      <c r="G70" s="66"/>
      <c r="H70" s="66"/>
      <c r="I70" s="66"/>
      <c r="J70" s="66"/>
      <c r="K70" s="68"/>
      <c r="L70" s="66">
        <v>70</v>
      </c>
      <c r="M70" s="66"/>
      <c r="N70" s="66"/>
      <c r="O70" s="66"/>
      <c r="P70" s="66"/>
      <c r="Q70" s="66"/>
      <c r="R70" s="66"/>
      <c r="S70" s="66"/>
      <c r="T70" s="66"/>
      <c r="W70" s="84"/>
      <c r="X70" s="84"/>
      <c r="Y70" s="84"/>
      <c r="Z70" s="84"/>
    </row>
    <row r="71" spans="1:26" hidden="1">
      <c r="A71" s="72">
        <v>520</v>
      </c>
      <c r="B71" s="68"/>
      <c r="C71" s="66"/>
      <c r="D71" s="66"/>
      <c r="E71" s="66"/>
      <c r="F71" s="66"/>
      <c r="G71" s="66"/>
      <c r="H71" s="66"/>
      <c r="I71" s="66"/>
      <c r="J71" s="66"/>
      <c r="K71" s="68"/>
      <c r="L71" s="66"/>
      <c r="M71" s="66"/>
      <c r="N71" s="66"/>
      <c r="O71" s="66"/>
      <c r="P71" s="66"/>
      <c r="Q71" s="66"/>
      <c r="R71" s="66"/>
      <c r="S71" s="66"/>
      <c r="T71" s="66"/>
      <c r="W71" s="84"/>
      <c r="X71" s="84"/>
      <c r="Y71" s="84"/>
      <c r="Z71" s="84"/>
    </row>
    <row r="72" spans="1:26" hidden="1">
      <c r="A72" s="72">
        <v>550</v>
      </c>
      <c r="B72" s="68"/>
      <c r="C72" s="66">
        <v>70</v>
      </c>
      <c r="D72" s="66"/>
      <c r="E72" s="66"/>
      <c r="F72" s="66"/>
      <c r="G72" s="66"/>
      <c r="H72" s="66"/>
      <c r="I72" s="66"/>
      <c r="J72" s="67"/>
      <c r="K72" s="68"/>
      <c r="L72" s="66">
        <v>70</v>
      </c>
      <c r="M72" s="66"/>
      <c r="N72" s="66"/>
      <c r="O72" s="66"/>
      <c r="P72" s="66"/>
      <c r="Q72" s="66"/>
      <c r="R72" s="66"/>
      <c r="S72" s="66"/>
      <c r="T72" s="66"/>
      <c r="W72" s="84"/>
      <c r="X72" s="84"/>
      <c r="Y72" s="84"/>
      <c r="Z72" s="84"/>
    </row>
    <row r="73" spans="1:26" ht="13.8" hidden="1" thickBot="1">
      <c r="A73" s="73">
        <v>600</v>
      </c>
      <c r="B73" s="68"/>
      <c r="C73" s="66">
        <v>70</v>
      </c>
      <c r="D73" s="66"/>
      <c r="E73" s="66"/>
      <c r="F73" s="66"/>
      <c r="G73" s="66"/>
      <c r="H73" s="66"/>
      <c r="I73" s="67"/>
      <c r="J73" s="67"/>
      <c r="K73" s="68"/>
      <c r="L73" s="66">
        <v>70</v>
      </c>
      <c r="M73" s="66"/>
      <c r="N73" s="66"/>
      <c r="O73" s="66"/>
      <c r="P73" s="66"/>
      <c r="Q73" s="66"/>
      <c r="R73" s="66"/>
      <c r="S73" s="66"/>
      <c r="T73" s="66"/>
      <c r="W73" s="84"/>
      <c r="X73" s="84"/>
      <c r="Y73" s="84"/>
      <c r="Z73" s="84"/>
    </row>
    <row r="74" spans="1:26" ht="13.8" hidden="1" thickBot="1">
      <c r="A74" s="73">
        <v>750</v>
      </c>
      <c r="B74" s="68"/>
      <c r="C74" s="66">
        <v>70</v>
      </c>
      <c r="D74" s="66"/>
      <c r="E74" s="66"/>
      <c r="F74" s="66"/>
      <c r="G74" s="66"/>
      <c r="H74" s="66"/>
      <c r="I74" s="67"/>
      <c r="J74" s="67"/>
      <c r="K74" s="68"/>
      <c r="L74" s="66">
        <v>70</v>
      </c>
      <c r="M74" s="66"/>
      <c r="N74" s="66"/>
      <c r="O74" s="66"/>
      <c r="P74" s="66"/>
      <c r="Q74" s="66"/>
      <c r="R74" s="66"/>
      <c r="S74" s="66"/>
      <c r="T74" s="66"/>
      <c r="W74" s="84"/>
      <c r="X74" s="84"/>
      <c r="Y74" s="84"/>
      <c r="Z74" s="84"/>
    </row>
    <row r="75" spans="1:26" hidden="1">
      <c r="B75" s="84" t="s">
        <v>86</v>
      </c>
      <c r="C75" s="84" t="s">
        <v>86</v>
      </c>
      <c r="D75" s="89"/>
      <c r="E75" s="90"/>
      <c r="F75" s="91"/>
      <c r="G75" s="90"/>
      <c r="I75" s="90"/>
      <c r="J75" s="90"/>
    </row>
    <row r="76" spans="1:26" hidden="1">
      <c r="A76" s="599" t="s">
        <v>16</v>
      </c>
      <c r="B76" s="84" t="b">
        <f>IF(MODULO!$AR$9,INDEX($A$36:$T$51,MATCH(MODULO!$AR$9,$A$36:$A$51,0),MATCH(MODULO!$AP$9,$A$36:$T$36,0)))</f>
        <v>0</v>
      </c>
      <c r="C76" s="84" t="b">
        <f>IF(B76=0,"",B76)</f>
        <v>0</v>
      </c>
      <c r="D76" s="89"/>
      <c r="E76" s="89"/>
      <c r="F76" s="91"/>
      <c r="G76" s="92"/>
      <c r="I76" s="89"/>
      <c r="J76" s="89"/>
    </row>
    <row r="77" spans="1:26" hidden="1">
      <c r="A77" s="599"/>
      <c r="B77" s="84" t="str">
        <f>IF(MODULO!$AR$9,INDEX($A$58:$T$74,MATCH(MODULO!$AR$9,$A$58:$A$74,0),MATCH(MODULO!$AP$9,$A$58:$T$58,0)),"")</f>
        <v/>
      </c>
      <c r="C77" s="84" t="str">
        <f>IF(B77=0,"",B77)</f>
        <v/>
      </c>
      <c r="D77" s="89"/>
      <c r="E77" s="89"/>
      <c r="F77" s="91"/>
      <c r="G77" s="89"/>
      <c r="I77" s="89"/>
      <c r="J77" s="89"/>
    </row>
    <row r="78" spans="1:26" hidden="1">
      <c r="A78" s="599" t="s">
        <v>17</v>
      </c>
      <c r="B78" s="84" t="b">
        <f>IF(MODULO!$AR$11,INDEX($A$36:$T$51,MATCH(MODULO!$AR$11,$A$36:$A$51,0),MATCH(MODULO!$AP$11,$A$36:$T$36,0)))</f>
        <v>0</v>
      </c>
      <c r="C78" s="84" t="b">
        <f t="shared" ref="C78:C95" si="0">IF(B78=0,"",B78)</f>
        <v>0</v>
      </c>
      <c r="D78" s="89"/>
      <c r="E78" s="89"/>
      <c r="F78" s="91"/>
      <c r="G78" s="89"/>
      <c r="I78" s="89"/>
      <c r="J78" s="89"/>
    </row>
    <row r="79" spans="1:26" hidden="1">
      <c r="A79" s="599"/>
      <c r="B79" s="84" t="b">
        <f>IF(MODULO!$AR$11,INDEX($A$58:$T$74,MATCH(MODULO!$AR$11,$A$58:$A$74,0),MATCH(MODULO!$AP$11,$A$58:$T$58,0)))</f>
        <v>0</v>
      </c>
      <c r="C79" s="84" t="b">
        <f t="shared" si="0"/>
        <v>0</v>
      </c>
      <c r="D79" s="89"/>
      <c r="E79" s="89"/>
      <c r="F79" s="91"/>
      <c r="G79" s="89"/>
      <c r="I79" s="89"/>
      <c r="J79" s="89"/>
    </row>
    <row r="80" spans="1:26" hidden="1">
      <c r="A80" s="599" t="s">
        <v>18</v>
      </c>
      <c r="B80" s="84" t="b">
        <f>IF(MODULO!$AR$13,INDEX($A$36:$T$51,MATCH(MODULO!$AR$13,$A$36:$A$51,0),MATCH(MODULO!$AP$13,$A$36:$T$36,0)))</f>
        <v>0</v>
      </c>
      <c r="C80" s="84" t="b">
        <f t="shared" si="0"/>
        <v>0</v>
      </c>
      <c r="D80" s="89"/>
      <c r="E80" s="89"/>
      <c r="F80" s="91"/>
      <c r="G80" s="89"/>
      <c r="I80" s="89"/>
      <c r="J80" s="89"/>
    </row>
    <row r="81" spans="1:10" hidden="1">
      <c r="A81" s="599"/>
      <c r="B81" s="84" t="b">
        <f>IF(MODULO!$AR$13,INDEX($A$58:$T$74,MATCH(MODULO!$AR$13,$A$58:$A$74,0),MATCH(MODULO!$AP$13,$A$58:$T$58,0)))</f>
        <v>0</v>
      </c>
      <c r="C81" s="84" t="b">
        <f t="shared" si="0"/>
        <v>0</v>
      </c>
      <c r="D81" s="89"/>
      <c r="E81" s="89"/>
      <c r="F81" s="91"/>
      <c r="G81" s="89"/>
      <c r="I81" s="89"/>
      <c r="J81" s="89"/>
    </row>
    <row r="82" spans="1:10" hidden="1">
      <c r="A82" s="599" t="s">
        <v>19</v>
      </c>
      <c r="B82" s="84" t="b">
        <f>IF(MODULO!$AR$15,INDEX($A$36:$T$51,MATCH(MODULO!$AR$15,$A$36:$A$51,0),MATCH(MODULO!$AP$15,$A$36:$T$36,0)))</f>
        <v>0</v>
      </c>
      <c r="C82" s="84" t="b">
        <f t="shared" si="0"/>
        <v>0</v>
      </c>
      <c r="D82" s="89"/>
      <c r="E82" s="89"/>
      <c r="F82" s="91"/>
      <c r="G82" s="89"/>
      <c r="I82" s="89"/>
    </row>
    <row r="83" spans="1:10" hidden="1">
      <c r="A83" s="599"/>
      <c r="B83" s="84" t="b">
        <f>IF(MODULO!$AR$15,INDEX($A$58:$T$74,MATCH(MODULO!$AR$15,$A$58:$A$74,0),MATCH(MODULO!$AP$15,$A$58:$T$58,0)))</f>
        <v>0</v>
      </c>
      <c r="C83" s="84" t="b">
        <f t="shared" si="0"/>
        <v>0</v>
      </c>
      <c r="D83" s="89"/>
      <c r="E83" s="89"/>
      <c r="G83" s="89"/>
    </row>
    <row r="84" spans="1:10" hidden="1">
      <c r="A84" s="599" t="s">
        <v>22</v>
      </c>
      <c r="B84" s="84" t="b">
        <f>IF(MODULO!$AR$17,INDEX($A$36:$T$51,MATCH(MODULO!$AR$17,$A$36:$A$51,0),MATCH(MODULO!$AP$17,$A$36:$T$36,0)))</f>
        <v>0</v>
      </c>
      <c r="C84" s="84" t="b">
        <f t="shared" si="0"/>
        <v>0</v>
      </c>
      <c r="G84" s="89"/>
    </row>
    <row r="85" spans="1:10" hidden="1">
      <c r="A85" s="599"/>
      <c r="B85" s="84" t="b">
        <f>IF(MODULO!$AR$17,INDEX($A$58:$T$74,MATCH(MODULO!$AR$17,$A$58:$A$74,0),MATCH(MODULO!$AP$17,$A$58:$T$58,0)))</f>
        <v>0</v>
      </c>
      <c r="C85" s="84" t="b">
        <f t="shared" si="0"/>
        <v>0</v>
      </c>
      <c r="G85" s="89"/>
    </row>
    <row r="86" spans="1:10" hidden="1">
      <c r="A86" s="599" t="s">
        <v>23</v>
      </c>
      <c r="B86" s="84" t="b">
        <f>IF(MODULO!$AR$19,INDEX($A$36:$T$51,MATCH(MODULO!$AR$19,$A$36:$A$51,0),MATCH(MODULO!$AP$19,$A$36:$T$36,0)))</f>
        <v>0</v>
      </c>
      <c r="C86" s="84" t="b">
        <f t="shared" si="0"/>
        <v>0</v>
      </c>
      <c r="G86" s="89"/>
    </row>
    <row r="87" spans="1:10" hidden="1">
      <c r="A87" s="599"/>
      <c r="B87" s="84" t="b">
        <f>IF(MODULO!$AR$19,INDEX($A$58:$T$74,MATCH(MODULO!$AR$19,$A$58:$A$74,0),MATCH(MODULO!$AP$19,$A$58:$T$58,0)))</f>
        <v>0</v>
      </c>
      <c r="C87" s="84" t="b">
        <f t="shared" si="0"/>
        <v>0</v>
      </c>
      <c r="G87" s="89"/>
    </row>
    <row r="88" spans="1:10" hidden="1">
      <c r="A88" s="599" t="s">
        <v>24</v>
      </c>
      <c r="B88" s="84" t="b">
        <f>IF(MODULO!$AR$21,INDEX($A$36:$T$51,MATCH(MODULO!$AR$21,$A$36:$A$51,0),MATCH(MODULO!$AP$21,$A$36:$T$36,0)))</f>
        <v>0</v>
      </c>
      <c r="C88" s="84" t="b">
        <f t="shared" si="0"/>
        <v>0</v>
      </c>
      <c r="G88" s="89"/>
    </row>
    <row r="89" spans="1:10" hidden="1">
      <c r="A89" s="599"/>
      <c r="B89" s="84" t="b">
        <f>IF(MODULO!$AR$21,INDEX($A$58:$T$74,MATCH(MODULO!$AR$21,$A$58:$A$74,0),MATCH(MODULO!$AP$21,$A$58:$T$58,0)))</f>
        <v>0</v>
      </c>
      <c r="C89" s="84" t="b">
        <f t="shared" si="0"/>
        <v>0</v>
      </c>
    </row>
    <row r="90" spans="1:10" hidden="1">
      <c r="A90" s="599" t="s">
        <v>25</v>
      </c>
      <c r="B90" s="84" t="b">
        <f>IF(MODULO!$AR$23,INDEX($A$36:$T$51,MATCH(MODULO!$AR$23,$A$36:$A$51,0),MATCH(MODULO!$AP$23,$A$36:$T$36,0)))</f>
        <v>0</v>
      </c>
      <c r="C90" s="84" t="b">
        <f t="shared" si="0"/>
        <v>0</v>
      </c>
    </row>
    <row r="91" spans="1:10" hidden="1">
      <c r="A91" s="599"/>
      <c r="B91" s="84" t="b">
        <f>IF(MODULO!$AR$23,INDEX($A$58:$T$74,MATCH(MODULO!$AR$23,$A$58:$A$74,0),MATCH(MODULO!$AP$23,$A$58:$T$58,0)))</f>
        <v>0</v>
      </c>
      <c r="C91" s="84" t="b">
        <f t="shared" si="0"/>
        <v>0</v>
      </c>
    </row>
    <row r="92" spans="1:10" hidden="1">
      <c r="A92" s="599" t="s">
        <v>26</v>
      </c>
      <c r="B92" s="84" t="b">
        <f>IF(MODULO!$AR$25,INDEX($A$36:$T$51,MATCH(MODULO!$AR$25,$A$36:$A$51,0),MATCH(MODULO!$AP$25,$A$36:$T$36,0)))</f>
        <v>0</v>
      </c>
      <c r="C92" s="84" t="b">
        <f t="shared" si="0"/>
        <v>0</v>
      </c>
    </row>
    <row r="93" spans="1:10" hidden="1">
      <c r="A93" s="599"/>
      <c r="B93" s="84" t="b">
        <f>IF(MODULO!$AR$25,INDEX($A$58:$T$74,MATCH(MODULO!$AR$25,$A$58:$A$74,0),MATCH(MODULO!$AP$25,$A$58:$T$58,0)))</f>
        <v>0</v>
      </c>
      <c r="C93" s="84" t="b">
        <f t="shared" si="0"/>
        <v>0</v>
      </c>
    </row>
    <row r="94" spans="1:10" hidden="1">
      <c r="A94" s="599" t="s">
        <v>27</v>
      </c>
      <c r="B94" s="84" t="b">
        <f>IF(MODULO!$AR$27,INDEX($A$36:$T$51,MATCH(MODULO!$AR$27,$A$36:$A$51,0),MATCH(MODULO!$AP$27,$A$36:$T$36,0)))</f>
        <v>0</v>
      </c>
      <c r="C94" s="84" t="b">
        <f t="shared" si="0"/>
        <v>0</v>
      </c>
    </row>
    <row r="95" spans="1:10" hidden="1">
      <c r="A95" s="599"/>
      <c r="B95" s="84" t="b">
        <f>IF(MODULO!$AR$27,INDEX($A$58:$T$74,MATCH(MODULO!$AR$27,$A$58:$A$74,0),MATCH(MODULO!$AP$27,$A$58:$T$58,0)))</f>
        <v>0</v>
      </c>
      <c r="C95" s="84" t="b">
        <f t="shared" si="0"/>
        <v>0</v>
      </c>
    </row>
    <row r="96" spans="1:10" ht="12.75" hidden="1" customHeight="1"/>
    <row r="97" spans="23:26" ht="12.75" hidden="1" customHeight="1" thickBot="1"/>
    <row r="98" spans="23:26" ht="12.75" hidden="1" customHeight="1" thickBot="1">
      <c r="W98" s="78" t="s">
        <v>83</v>
      </c>
      <c r="X98" s="78" t="s">
        <v>83</v>
      </c>
      <c r="Y98" s="590" t="s">
        <v>80</v>
      </c>
      <c r="Z98" s="592"/>
    </row>
    <row r="99" spans="23:26" ht="12.75" hidden="1" customHeight="1">
      <c r="W99" s="80"/>
      <c r="X99" s="80"/>
      <c r="Y99" s="593" t="s">
        <v>82</v>
      </c>
      <c r="Z99" s="594"/>
    </row>
    <row r="100" spans="23:26" ht="39.6">
      <c r="W100" s="71"/>
      <c r="X100" s="71"/>
      <c r="Y100" s="82" t="s">
        <v>106</v>
      </c>
      <c r="Z100" s="82"/>
    </row>
    <row r="101" spans="23:26">
      <c r="W101" s="71">
        <v>250</v>
      </c>
      <c r="X101" s="71">
        <v>250</v>
      </c>
      <c r="Y101" s="68"/>
      <c r="Z101" s="66"/>
    </row>
    <row r="102" spans="23:26">
      <c r="W102" s="72">
        <v>280</v>
      </c>
      <c r="X102" s="72">
        <v>280</v>
      </c>
      <c r="Y102" s="68"/>
      <c r="Z102" s="66"/>
    </row>
    <row r="103" spans="23:26">
      <c r="W103" s="72">
        <v>300</v>
      </c>
      <c r="X103" s="72">
        <v>300</v>
      </c>
      <c r="Y103" s="68">
        <v>40</v>
      </c>
      <c r="Z103" s="66"/>
    </row>
    <row r="104" spans="23:26">
      <c r="W104" s="72">
        <v>320</v>
      </c>
      <c r="X104" s="72">
        <v>320</v>
      </c>
      <c r="Y104" s="68"/>
      <c r="Z104" s="66"/>
    </row>
    <row r="105" spans="23:26">
      <c r="W105" s="72">
        <v>350</v>
      </c>
      <c r="X105" s="72">
        <v>350</v>
      </c>
      <c r="Y105" s="68">
        <v>40</v>
      </c>
      <c r="Z105" s="66"/>
    </row>
    <row r="106" spans="23:26">
      <c r="W106" s="72">
        <v>380</v>
      </c>
      <c r="X106" s="72">
        <v>380</v>
      </c>
      <c r="Y106" s="68"/>
      <c r="Z106" s="66"/>
    </row>
    <row r="107" spans="23:26">
      <c r="W107" s="72">
        <v>400</v>
      </c>
      <c r="X107" s="72">
        <v>400</v>
      </c>
      <c r="Y107" s="68">
        <v>40</v>
      </c>
      <c r="Z107" s="66"/>
    </row>
    <row r="108" spans="23:26">
      <c r="W108" s="72">
        <v>420</v>
      </c>
      <c r="X108" s="72">
        <v>420</v>
      </c>
      <c r="Y108" s="69"/>
      <c r="Z108" s="67"/>
    </row>
    <row r="109" spans="23:26">
      <c r="W109" s="72">
        <v>450</v>
      </c>
      <c r="X109" s="72">
        <v>450</v>
      </c>
      <c r="Y109" s="70">
        <v>40</v>
      </c>
      <c r="Z109" s="64"/>
    </row>
    <row r="110" spans="23:26">
      <c r="W110" s="72">
        <v>480</v>
      </c>
      <c r="X110" s="72">
        <v>480</v>
      </c>
      <c r="Y110" s="70"/>
      <c r="Z110" s="64"/>
    </row>
    <row r="111" spans="23:26">
      <c r="W111" s="72">
        <v>500</v>
      </c>
      <c r="X111" s="72">
        <v>500</v>
      </c>
      <c r="Y111" s="68">
        <v>40</v>
      </c>
      <c r="Z111" s="66"/>
    </row>
    <row r="112" spans="23:26">
      <c r="W112" s="72">
        <v>550</v>
      </c>
      <c r="X112" s="72">
        <v>550</v>
      </c>
      <c r="Y112" s="68">
        <v>40</v>
      </c>
      <c r="Z112" s="66"/>
    </row>
    <row r="113" spans="23:26" ht="13.8" thickBot="1">
      <c r="W113" s="73">
        <v>600</v>
      </c>
      <c r="X113" s="73">
        <v>600</v>
      </c>
      <c r="Y113" s="68">
        <v>40</v>
      </c>
      <c r="Z113" s="66"/>
    </row>
    <row r="119" spans="23:26" ht="13.8" thickBot="1"/>
    <row r="120" spans="23:26" ht="14.4" thickBot="1">
      <c r="W120" s="78" t="s">
        <v>83</v>
      </c>
      <c r="X120" s="78" t="s">
        <v>83</v>
      </c>
      <c r="Y120" s="590" t="s">
        <v>80</v>
      </c>
      <c r="Z120" s="592"/>
    </row>
    <row r="121" spans="23:26">
      <c r="W121" s="80"/>
      <c r="X121" s="80"/>
      <c r="Y121" s="593" t="s">
        <v>82</v>
      </c>
      <c r="Z121" s="594"/>
    </row>
    <row r="122" spans="23:26">
      <c r="W122" s="71"/>
      <c r="X122" s="71"/>
      <c r="Y122" s="82"/>
      <c r="Z122" s="85" t="s">
        <v>106</v>
      </c>
    </row>
    <row r="123" spans="23:26">
      <c r="W123" s="71">
        <v>250</v>
      </c>
      <c r="X123" s="71">
        <v>250</v>
      </c>
      <c r="Y123" s="68"/>
      <c r="Z123" s="66"/>
    </row>
    <row r="124" spans="23:26">
      <c r="W124" s="72">
        <v>280</v>
      </c>
      <c r="X124" s="72">
        <v>280</v>
      </c>
      <c r="Y124" s="68"/>
      <c r="Z124" s="66"/>
    </row>
    <row r="125" spans="23:26">
      <c r="W125" s="72">
        <v>300</v>
      </c>
      <c r="X125" s="72">
        <v>300</v>
      </c>
      <c r="Y125" s="68"/>
      <c r="Z125" s="66"/>
    </row>
    <row r="126" spans="23:26">
      <c r="W126" s="72">
        <v>320</v>
      </c>
      <c r="X126" s="72">
        <v>320</v>
      </c>
      <c r="Y126" s="68"/>
      <c r="Z126" s="66"/>
    </row>
    <row r="127" spans="23:26">
      <c r="W127" s="72">
        <v>350</v>
      </c>
      <c r="X127" s="72">
        <v>350</v>
      </c>
      <c r="Y127" s="68"/>
      <c r="Z127" s="66"/>
    </row>
    <row r="128" spans="23:26">
      <c r="W128" s="72">
        <v>380</v>
      </c>
      <c r="X128" s="72">
        <v>380</v>
      </c>
      <c r="Y128" s="68"/>
      <c r="Z128" s="66"/>
    </row>
    <row r="129" spans="23:26">
      <c r="W129" s="72">
        <v>400</v>
      </c>
      <c r="X129" s="72">
        <v>400</v>
      </c>
      <c r="Y129" s="68"/>
      <c r="Z129" s="66"/>
    </row>
    <row r="130" spans="23:26">
      <c r="W130" s="72">
        <v>420</v>
      </c>
      <c r="X130" s="72">
        <v>420</v>
      </c>
      <c r="Y130" s="69"/>
      <c r="Z130" s="67"/>
    </row>
    <row r="131" spans="23:26">
      <c r="W131" s="72">
        <v>450</v>
      </c>
      <c r="X131" s="72">
        <v>450</v>
      </c>
      <c r="Y131" s="70"/>
      <c r="Z131" s="64">
        <v>70</v>
      </c>
    </row>
    <row r="132" spans="23:26">
      <c r="W132" s="72">
        <v>480</v>
      </c>
      <c r="X132" s="72">
        <v>480</v>
      </c>
      <c r="Y132" s="70"/>
      <c r="Z132" s="64"/>
    </row>
    <row r="133" spans="23:26">
      <c r="W133" s="72">
        <v>500</v>
      </c>
      <c r="X133" s="72">
        <v>500</v>
      </c>
      <c r="Y133" s="68"/>
      <c r="Z133" s="66">
        <v>70</v>
      </c>
    </row>
    <row r="134" spans="23:26">
      <c r="W134" s="72">
        <v>550</v>
      </c>
      <c r="X134" s="72">
        <v>550</v>
      </c>
      <c r="Y134" s="68"/>
      <c r="Z134" s="66">
        <v>70</v>
      </c>
    </row>
    <row r="135" spans="23:26" ht="13.8" thickBot="1">
      <c r="W135" s="73">
        <v>600</v>
      </c>
      <c r="X135" s="73">
        <v>600</v>
      </c>
      <c r="Y135" s="68"/>
      <c r="Z135" s="66">
        <v>70</v>
      </c>
    </row>
  </sheetData>
  <sheetProtection algorithmName="SHA-512" hashValue="y1zn3Z2T/+ou4CquSY8Tuuo9+molVrQ9aCkCaeWKTtysgvXdph4GT4BZNc2WnLWzNxBGbG9+PbuPoc2fas/buw==" saltValue="q7KVAG52ZxIGbUqYQou+Kg==" spinCount="100000" sheet="1" objects="1" scenarios="1" selectLockedCells="1"/>
  <mergeCells count="51">
    <mergeCell ref="B34:C34"/>
    <mergeCell ref="B35:C35"/>
    <mergeCell ref="D34:E34"/>
    <mergeCell ref="F34:I34"/>
    <mergeCell ref="F35:I35"/>
    <mergeCell ref="D35:E35"/>
    <mergeCell ref="A80:A81"/>
    <mergeCell ref="B56:C56"/>
    <mergeCell ref="D56:E56"/>
    <mergeCell ref="F56:I56"/>
    <mergeCell ref="B57:C57"/>
    <mergeCell ref="D57:E57"/>
    <mergeCell ref="F57:I57"/>
    <mergeCell ref="A76:A77"/>
    <mergeCell ref="A78:A79"/>
    <mergeCell ref="A94:A95"/>
    <mergeCell ref="A82:A83"/>
    <mergeCell ref="A84:A85"/>
    <mergeCell ref="A86:A87"/>
    <mergeCell ref="A88:A89"/>
    <mergeCell ref="A90:A91"/>
    <mergeCell ref="A92:A93"/>
    <mergeCell ref="Y121:Z121"/>
    <mergeCell ref="K57:L57"/>
    <mergeCell ref="K35:L35"/>
    <mergeCell ref="Y34:Z34"/>
    <mergeCell ref="Y35:Z35"/>
    <mergeCell ref="Y56:Z56"/>
    <mergeCell ref="Y57:Z57"/>
    <mergeCell ref="M35:N35"/>
    <mergeCell ref="O35:P35"/>
    <mergeCell ref="Q35:R35"/>
    <mergeCell ref="S35:T35"/>
    <mergeCell ref="M36:N36"/>
    <mergeCell ref="O36:P36"/>
    <mergeCell ref="Q36:R36"/>
    <mergeCell ref="S36:T36"/>
    <mergeCell ref="Q24:Q25"/>
    <mergeCell ref="M34:T34"/>
    <mergeCell ref="Y98:Z98"/>
    <mergeCell ref="Y99:Z99"/>
    <mergeCell ref="Y120:Z120"/>
    <mergeCell ref="M58:N58"/>
    <mergeCell ref="O58:P58"/>
    <mergeCell ref="Q58:R58"/>
    <mergeCell ref="S58:T58"/>
    <mergeCell ref="M56:T56"/>
    <mergeCell ref="M57:N57"/>
    <mergeCell ref="O57:P57"/>
    <mergeCell ref="Q57:R57"/>
    <mergeCell ref="S57:T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12DD-F857-423F-8D7F-681E4FB12DE3}">
  <sheetPr codeName="Foglio6"/>
  <dimension ref="A1:T199"/>
  <sheetViews>
    <sheetView showGridLines="0" showRowColHeaders="0" topLeftCell="A200" workbookViewId="0">
      <selection activeCell="A199" sqref="A1:XFD199"/>
    </sheetView>
  </sheetViews>
  <sheetFormatPr defaultRowHeight="13.2"/>
  <cols>
    <col min="1" max="5" width="13.6640625" customWidth="1"/>
    <col min="6" max="7" width="17.6640625" customWidth="1"/>
    <col min="8" max="10" width="13.6640625" customWidth="1"/>
    <col min="11" max="11" width="17.6640625" customWidth="1"/>
    <col min="12" max="12" width="13.6640625" customWidth="1"/>
    <col min="13" max="13" width="17.6640625" customWidth="1"/>
  </cols>
  <sheetData>
    <row r="1" spans="1:15" hidden="1"/>
    <row r="2" spans="1:15" hidden="1"/>
    <row r="3" spans="1:15" ht="15.6" hidden="1">
      <c r="A3" s="237" t="s">
        <v>156</v>
      </c>
      <c r="B3" s="243" t="s">
        <v>100</v>
      </c>
      <c r="C3" s="604" t="s">
        <v>78</v>
      </c>
      <c r="D3" s="605"/>
      <c r="E3" s="605"/>
      <c r="F3" s="604" t="s">
        <v>80</v>
      </c>
      <c r="G3" s="605"/>
      <c r="H3" s="604" t="s">
        <v>81</v>
      </c>
      <c r="I3" s="604"/>
      <c r="J3" s="601" t="s">
        <v>46</v>
      </c>
      <c r="K3" s="602"/>
      <c r="L3" s="602"/>
      <c r="M3" s="603"/>
    </row>
    <row r="4" spans="1:15" ht="15.6" hidden="1">
      <c r="A4" s="237"/>
      <c r="B4" s="92" t="s">
        <v>90</v>
      </c>
      <c r="C4" s="92" t="s">
        <v>103</v>
      </c>
      <c r="D4" s="239" t="s">
        <v>85</v>
      </c>
      <c r="E4" s="89" t="s">
        <v>104</v>
      </c>
      <c r="F4" s="92" t="s">
        <v>105</v>
      </c>
      <c r="G4" s="238" t="s">
        <v>106</v>
      </c>
      <c r="H4" s="92" t="s">
        <v>101</v>
      </c>
      <c r="I4" s="238" t="s">
        <v>102</v>
      </c>
      <c r="J4" s="89" t="s">
        <v>150</v>
      </c>
      <c r="K4" s="89" t="s">
        <v>162</v>
      </c>
      <c r="L4" s="238" t="s">
        <v>151</v>
      </c>
      <c r="M4" s="238"/>
      <c r="N4" s="242"/>
    </row>
    <row r="5" spans="1:15" hidden="1">
      <c r="A5" s="18">
        <v>250</v>
      </c>
      <c r="B5">
        <v>1.89</v>
      </c>
      <c r="E5">
        <v>8.23</v>
      </c>
    </row>
    <row r="6" spans="1:15" hidden="1">
      <c r="A6" s="240">
        <v>270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55" t="s">
        <v>16</v>
      </c>
      <c r="O6">
        <f>IF(AND(MODULO!$AN9&lt;&gt;0,MODULO!$BD9=25),INDEX(Foglio1!$A$4:$M$26,MATCH(MODULO!$AR9,Foglio1!$A$4:$A$26,0),MATCH(MODULO!$AP9,Foglio1!$A$4:$M$4,0)),0)</f>
        <v>0</v>
      </c>
    </row>
    <row r="7" spans="1:15" hidden="1">
      <c r="A7" s="18">
        <v>280</v>
      </c>
    </row>
    <row r="8" spans="1:15" hidden="1">
      <c r="A8" s="240">
        <v>300</v>
      </c>
      <c r="B8" s="241">
        <v>1.89</v>
      </c>
      <c r="C8" s="241"/>
      <c r="D8" s="241"/>
      <c r="E8" s="241">
        <v>8.44</v>
      </c>
      <c r="F8" s="241"/>
      <c r="G8" s="241"/>
      <c r="H8" s="241"/>
      <c r="I8" s="241"/>
      <c r="J8" s="241"/>
      <c r="K8" s="241"/>
      <c r="L8" s="241"/>
      <c r="M8" s="241"/>
      <c r="N8" s="255" t="s">
        <v>17</v>
      </c>
      <c r="O8">
        <f>IF(AND(MODULO!$AN11&lt;&gt;0,MODULO!$BD11=25),INDEX(Foglio1!$A$4:$M$26,MATCH(MODULO!$AR11,Foglio1!$A$4:$A$26,0),MATCH(MODULO!$AP11,Foglio1!$A$4:$M$4,0)),0)</f>
        <v>0</v>
      </c>
    </row>
    <row r="9" spans="1:15" hidden="1">
      <c r="A9" s="18">
        <v>320</v>
      </c>
    </row>
    <row r="10" spans="1:15" hidden="1">
      <c r="A10" s="240">
        <v>350</v>
      </c>
      <c r="B10" s="241">
        <v>2.0099999999999998</v>
      </c>
      <c r="C10" s="241"/>
      <c r="D10" s="241"/>
      <c r="E10" s="241">
        <v>8.64</v>
      </c>
      <c r="F10" s="241"/>
      <c r="G10" s="241"/>
      <c r="H10" s="241"/>
      <c r="I10" s="241"/>
      <c r="J10" s="241"/>
      <c r="K10" s="241"/>
      <c r="L10" s="241"/>
      <c r="M10" s="241"/>
      <c r="N10" s="255" t="s">
        <v>18</v>
      </c>
      <c r="O10">
        <f>IF(AND(MODULO!$AN13&lt;&gt;0,MODULO!$BD13=25),INDEX(Foglio1!$A$4:$M$26,MATCH(MODULO!$AR13,Foglio1!$A$4:$A$26,0),MATCH(MODULO!$AP13,Foglio1!$A$4:$M$4,0)),0)</f>
        <v>0</v>
      </c>
    </row>
    <row r="11" spans="1:15" hidden="1">
      <c r="A11" s="18">
        <v>380</v>
      </c>
    </row>
    <row r="12" spans="1:15" hidden="1">
      <c r="A12" s="240">
        <v>400</v>
      </c>
      <c r="B12" s="241">
        <v>2.08</v>
      </c>
      <c r="C12" s="241"/>
      <c r="D12" s="241"/>
      <c r="E12" s="241">
        <v>9.07</v>
      </c>
      <c r="F12" s="241"/>
      <c r="G12" s="241"/>
      <c r="H12" s="241"/>
      <c r="I12" s="241"/>
      <c r="J12" s="241"/>
      <c r="K12" s="241"/>
      <c r="L12" s="241"/>
      <c r="M12" s="241"/>
      <c r="N12" s="255" t="s">
        <v>19</v>
      </c>
      <c r="O12">
        <f>IF(AND(MODULO!$AN15&lt;&gt;0,MODULO!$BD15=25),INDEX(Foglio1!$A$4:$M$26,MATCH(MODULO!$AR15,Foglio1!$A$4:$A$26,0),MATCH(MODULO!$AP15,Foglio1!$A$4:$M$4,0)),0)</f>
        <v>0</v>
      </c>
    </row>
    <row r="13" spans="1:15" hidden="1">
      <c r="A13" s="18">
        <v>420</v>
      </c>
    </row>
    <row r="14" spans="1:15" hidden="1">
      <c r="A14" s="240">
        <v>450</v>
      </c>
      <c r="B14" s="241">
        <v>2.17</v>
      </c>
      <c r="C14" s="241"/>
      <c r="D14" s="241"/>
      <c r="E14" s="241">
        <v>9.5</v>
      </c>
      <c r="F14" s="241"/>
      <c r="G14" s="241"/>
      <c r="H14" s="241"/>
      <c r="I14" s="241"/>
      <c r="J14" s="241"/>
      <c r="K14" s="241"/>
      <c r="L14" s="241"/>
      <c r="M14" s="241"/>
      <c r="N14" s="255" t="s">
        <v>22</v>
      </c>
      <c r="O14">
        <f>IF(AND(MODULO!$AN17&lt;&gt;0,MODULO!$BD17=25),INDEX(Foglio1!$A$4:$M$26,MATCH(MODULO!$AR17,Foglio1!$A$4:$A$26,0),MATCH(MODULO!$AP17,Foglio1!$A$4:$M$4,0)),0)</f>
        <v>0</v>
      </c>
    </row>
    <row r="15" spans="1:15" hidden="1">
      <c r="A15" s="18">
        <v>480</v>
      </c>
    </row>
    <row r="16" spans="1:15" hidden="1">
      <c r="A16" s="240">
        <v>500</v>
      </c>
      <c r="B16" s="241">
        <v>2.29</v>
      </c>
      <c r="C16" s="241"/>
      <c r="D16" s="241"/>
      <c r="E16" s="241">
        <v>10.14</v>
      </c>
      <c r="F16" s="241"/>
      <c r="G16" s="241"/>
      <c r="H16" s="241"/>
      <c r="I16" s="241"/>
      <c r="J16" s="241"/>
      <c r="K16" s="241"/>
      <c r="L16" s="241"/>
      <c r="M16" s="241"/>
      <c r="N16" s="255" t="s">
        <v>23</v>
      </c>
      <c r="O16">
        <f>IF(AND(MODULO!$AN19&lt;&gt;0,MODULO!$BD19=25),INDEX(Foglio1!$A$4:$M$26,MATCH(MODULO!$AR19,Foglio1!$A$4:$A$26,0),MATCH(MODULO!$AP19,Foglio1!$A$4:$M$4,0)),0)</f>
        <v>0</v>
      </c>
    </row>
    <row r="17" spans="1:18" hidden="1">
      <c r="A17" s="18">
        <v>520</v>
      </c>
    </row>
    <row r="18" spans="1:18" hidden="1">
      <c r="A18" s="240">
        <v>550</v>
      </c>
      <c r="B18" s="241"/>
      <c r="C18" s="241"/>
      <c r="D18" s="241"/>
      <c r="E18" s="241">
        <v>11</v>
      </c>
      <c r="F18" s="241"/>
      <c r="G18" s="241"/>
      <c r="H18" s="241"/>
      <c r="I18" s="241"/>
      <c r="J18" s="241"/>
      <c r="K18" s="241"/>
      <c r="L18" s="241"/>
      <c r="M18" s="241"/>
      <c r="N18" s="255" t="s">
        <v>24</v>
      </c>
      <c r="O18">
        <f>IF(AND(MODULO!$AN21&lt;&gt;0,MODULO!$BD21=25),INDEX(Foglio1!$A$4:$M$26,MATCH(MODULO!$AR21,Foglio1!$A$4:$A$26,0),MATCH(MODULO!$AP21,Foglio1!$A$4:$M$4,0)),0)</f>
        <v>0</v>
      </c>
    </row>
    <row r="19" spans="1:18" hidden="1">
      <c r="A19" s="18">
        <v>580</v>
      </c>
      <c r="P19" s="2"/>
      <c r="Q19" s="18"/>
      <c r="R19" s="18"/>
    </row>
    <row r="20" spans="1:18" hidden="1">
      <c r="A20" s="240">
        <v>600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55" t="s">
        <v>25</v>
      </c>
      <c r="O20">
        <f>IF(AND(MODULO!$AN23&lt;&gt;0,MODULO!$BD23=25),INDEX(Foglio1!$A$4:$M$26,MATCH(MODULO!$AR23,Foglio1!$A$4:$A$26,0),MATCH(MODULO!$AP23,Foglio1!$A$4:$M$4,0)),0)</f>
        <v>0</v>
      </c>
      <c r="P20" s="2"/>
      <c r="Q20" s="18"/>
      <c r="R20" s="18"/>
    </row>
    <row r="21" spans="1:18" hidden="1">
      <c r="A21" s="18">
        <v>650</v>
      </c>
      <c r="P21" s="2"/>
      <c r="Q21" s="18"/>
      <c r="R21" s="18"/>
    </row>
    <row r="22" spans="1:18" hidden="1">
      <c r="A22" s="240">
        <v>700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55" t="s">
        <v>26</v>
      </c>
      <c r="O22">
        <f>IF(AND(MODULO!$AN25&lt;&gt;0,MODULO!$BD25=25),INDEX(Foglio1!$A$4:$M$26,MATCH(MODULO!$AR25,Foglio1!$A$4:$A$26,0),MATCH(MODULO!$AP25,Foglio1!$A$4:$M$4,0)),0)</f>
        <v>0</v>
      </c>
      <c r="P22" s="2"/>
      <c r="Q22" s="18"/>
      <c r="R22" s="18"/>
    </row>
    <row r="23" spans="1:18" hidden="1">
      <c r="A23" s="18">
        <v>750</v>
      </c>
      <c r="P23" s="2"/>
      <c r="Q23" s="18"/>
      <c r="R23" s="18"/>
    </row>
    <row r="24" spans="1:18" hidden="1">
      <c r="A24" s="240">
        <v>800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55" t="s">
        <v>27</v>
      </c>
      <c r="O24">
        <f>IF(AND(MODULO!$AN27&lt;&gt;0,MODULO!$BD27=25),INDEX(Foglio1!$A$4:$M$26,MATCH(MODULO!$AR27,Foglio1!$A$4:$A$26,0),MATCH(MODULO!$AP27,Foglio1!$A$4:$M$4,0)),0)</f>
        <v>0</v>
      </c>
      <c r="P24" s="2"/>
      <c r="Q24" s="18"/>
      <c r="R24" s="18"/>
    </row>
    <row r="25" spans="1:18" hidden="1">
      <c r="A25" s="18">
        <v>850</v>
      </c>
      <c r="P25" s="2"/>
      <c r="Q25" s="18"/>
      <c r="R25" s="84"/>
    </row>
    <row r="26" spans="1:18" hidden="1">
      <c r="A26" s="240">
        <v>900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O26" s="2"/>
      <c r="P26" s="2"/>
      <c r="Q26" s="18"/>
      <c r="R26" s="84"/>
    </row>
    <row r="27" spans="1:18" hidden="1">
      <c r="O27" s="2"/>
      <c r="P27" s="2"/>
      <c r="Q27" s="18"/>
      <c r="R27" s="84"/>
    </row>
    <row r="28" spans="1:18" hidden="1">
      <c r="O28" s="2"/>
      <c r="P28" s="2"/>
      <c r="Q28" s="18"/>
      <c r="R28" s="84"/>
    </row>
    <row r="29" spans="1:18" ht="15.6" hidden="1">
      <c r="A29" s="237" t="s">
        <v>154</v>
      </c>
      <c r="B29" s="243" t="s">
        <v>100</v>
      </c>
      <c r="C29" s="604" t="s">
        <v>78</v>
      </c>
      <c r="D29" s="605"/>
      <c r="E29" s="605"/>
      <c r="F29" s="604" t="s">
        <v>80</v>
      </c>
      <c r="G29" s="605"/>
      <c r="H29" s="604" t="s">
        <v>81</v>
      </c>
      <c r="I29" s="604"/>
      <c r="J29" s="601" t="s">
        <v>46</v>
      </c>
      <c r="K29" s="602"/>
      <c r="L29" s="602"/>
      <c r="M29" s="603"/>
      <c r="O29" s="2"/>
      <c r="P29" s="2"/>
      <c r="Q29" s="18"/>
      <c r="R29" s="84"/>
    </row>
    <row r="30" spans="1:18" ht="15.6" hidden="1">
      <c r="A30" s="237"/>
      <c r="B30" s="92" t="s">
        <v>90</v>
      </c>
      <c r="C30" s="92" t="s">
        <v>103</v>
      </c>
      <c r="D30" s="239" t="s">
        <v>85</v>
      </c>
      <c r="E30" s="89" t="s">
        <v>104</v>
      </c>
      <c r="F30" s="92" t="s">
        <v>105</v>
      </c>
      <c r="G30" s="238" t="s">
        <v>106</v>
      </c>
      <c r="H30" s="92" t="s">
        <v>101</v>
      </c>
      <c r="I30" s="238" t="s">
        <v>102</v>
      </c>
      <c r="J30" s="89" t="s">
        <v>150</v>
      </c>
      <c r="K30" s="89" t="s">
        <v>162</v>
      </c>
      <c r="L30" s="238" t="s">
        <v>151</v>
      </c>
      <c r="M30" s="238"/>
      <c r="O30" s="2"/>
      <c r="P30" s="2"/>
      <c r="Q30" s="18"/>
      <c r="R30" s="84"/>
    </row>
    <row r="31" spans="1:18" hidden="1">
      <c r="A31" s="18">
        <v>250</v>
      </c>
      <c r="C31">
        <v>14.49</v>
      </c>
      <c r="D31">
        <v>15.76</v>
      </c>
      <c r="H31">
        <v>23.5</v>
      </c>
      <c r="I31">
        <v>25.65</v>
      </c>
      <c r="O31" s="2"/>
      <c r="P31" s="2"/>
      <c r="Q31" s="18"/>
      <c r="R31" s="84"/>
    </row>
    <row r="32" spans="1:18" hidden="1">
      <c r="A32" s="240">
        <v>270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55" t="s">
        <v>16</v>
      </c>
      <c r="O32" s="2">
        <f>IF(AND(MODULO!$AN9&lt;&gt;0,MODULO!$BD9=30),INDEX(Foglio1!$A$30:$M$52,MATCH(MODULO!$AR9,Foglio1!$A$30:$A$52,0),MATCH(MODULO!$AP9,Foglio1!$A$30:$M$30,0)),0)</f>
        <v>0</v>
      </c>
      <c r="P32" s="2"/>
      <c r="Q32" s="18"/>
      <c r="R32" s="84"/>
    </row>
    <row r="33" spans="1:18" hidden="1">
      <c r="A33" s="18">
        <v>280</v>
      </c>
      <c r="C33">
        <v>14.69</v>
      </c>
      <c r="O33" s="2"/>
      <c r="P33" s="2"/>
      <c r="Q33" s="18"/>
      <c r="R33" s="84"/>
    </row>
    <row r="34" spans="1:18" hidden="1">
      <c r="A34" s="240">
        <v>300</v>
      </c>
      <c r="B34" s="241"/>
      <c r="C34" s="241">
        <v>14.89</v>
      </c>
      <c r="D34" s="241">
        <v>16.2</v>
      </c>
      <c r="E34" s="241"/>
      <c r="F34" s="241"/>
      <c r="G34" s="241"/>
      <c r="H34" s="241">
        <v>23.97</v>
      </c>
      <c r="I34" s="241">
        <v>26.19</v>
      </c>
      <c r="J34" s="241"/>
      <c r="K34" s="241"/>
      <c r="L34" s="241"/>
      <c r="M34" s="241"/>
      <c r="N34" s="255" t="s">
        <v>17</v>
      </c>
      <c r="O34" s="2">
        <f>IF(AND(MODULO!$AN11&lt;&gt;0,MODULO!$BD11=30),INDEX(Foglio1!$A$30:$M$52,MATCH(MODULO!$AR11,Foglio1!$A$30:$A$52,0),MATCH(MODULO!$AP11,Foglio1!$A$30:$M$30,0)),0)</f>
        <v>0</v>
      </c>
      <c r="P34" s="2"/>
      <c r="Q34" s="18"/>
      <c r="R34" s="84"/>
    </row>
    <row r="35" spans="1:18" hidden="1">
      <c r="A35" s="18">
        <v>320</v>
      </c>
      <c r="C35">
        <v>15.08</v>
      </c>
      <c r="O35" s="2"/>
      <c r="P35" s="2"/>
      <c r="Q35" s="18"/>
      <c r="R35" s="84"/>
    </row>
    <row r="36" spans="1:18" hidden="1">
      <c r="A36" s="240">
        <v>350</v>
      </c>
      <c r="B36" s="241"/>
      <c r="C36" s="241">
        <v>15.29</v>
      </c>
      <c r="D36" s="241">
        <v>16.63</v>
      </c>
      <c r="E36" s="241"/>
      <c r="F36" s="241"/>
      <c r="G36" s="241"/>
      <c r="H36" s="241">
        <v>24.02</v>
      </c>
      <c r="I36" s="241">
        <v>26.28</v>
      </c>
      <c r="J36" s="241"/>
      <c r="K36" s="241"/>
      <c r="L36" s="241"/>
      <c r="M36" s="241"/>
      <c r="N36" s="255" t="s">
        <v>18</v>
      </c>
      <c r="O36" s="2">
        <f>IF(AND(MODULO!$AN13&lt;&gt;0,MODULO!$BD13=30),INDEX(Foglio1!$A$30:$M$52,MATCH(MODULO!$AR13,Foglio1!$A$30:$A$52,0),MATCH(MODULO!$AP13,Foglio1!$A$30:$M$30,0)),0)</f>
        <v>0</v>
      </c>
      <c r="P36" s="2"/>
      <c r="Q36" s="18"/>
      <c r="R36" s="84"/>
    </row>
    <row r="37" spans="1:18" hidden="1">
      <c r="A37" s="18">
        <v>380</v>
      </c>
      <c r="C37">
        <v>15.68</v>
      </c>
      <c r="O37" s="2"/>
      <c r="P37" s="2"/>
      <c r="Q37" s="18"/>
      <c r="R37" s="84"/>
    </row>
    <row r="38" spans="1:18" hidden="1">
      <c r="A38" s="240">
        <v>400</v>
      </c>
      <c r="B38" s="241"/>
      <c r="C38" s="241">
        <v>16.07</v>
      </c>
      <c r="D38" s="241">
        <v>17.059999999999999</v>
      </c>
      <c r="E38" s="241"/>
      <c r="F38" s="241"/>
      <c r="G38" s="241"/>
      <c r="H38" s="241">
        <v>25.01</v>
      </c>
      <c r="I38" s="241">
        <v>27.35</v>
      </c>
      <c r="J38" s="241"/>
      <c r="K38" s="241"/>
      <c r="L38" s="241"/>
      <c r="M38" s="241"/>
      <c r="N38" s="255" t="s">
        <v>19</v>
      </c>
      <c r="O38" s="2">
        <f>IF(AND(MODULO!$AN15&lt;&gt;0,MODULO!$BD15=30),INDEX(Foglio1!$A$30:$M$52,MATCH(MODULO!$AR15,Foglio1!$A$30:$A$52,0),MATCH(MODULO!$AP15,Foglio1!$A$30:$M$30,0)),0)</f>
        <v>0</v>
      </c>
      <c r="P38" s="2"/>
      <c r="Q38" s="18"/>
      <c r="R38" s="84"/>
    </row>
    <row r="39" spans="1:18" hidden="1">
      <c r="A39" s="18">
        <v>420</v>
      </c>
      <c r="C39">
        <v>16.48</v>
      </c>
      <c r="O39" s="2"/>
      <c r="P39" s="2"/>
      <c r="Q39" s="18"/>
      <c r="R39" s="84"/>
    </row>
    <row r="40" spans="1:18" hidden="1">
      <c r="A40" s="240">
        <v>450</v>
      </c>
      <c r="B40" s="241"/>
      <c r="C40" s="241">
        <v>16.87</v>
      </c>
      <c r="D40" s="241">
        <v>18.38</v>
      </c>
      <c r="E40" s="241"/>
      <c r="F40" s="241"/>
      <c r="G40" s="241"/>
      <c r="H40" s="241">
        <v>25.55</v>
      </c>
      <c r="I40" s="241">
        <v>27.98</v>
      </c>
      <c r="J40" s="241"/>
      <c r="K40" s="241"/>
      <c r="L40" s="241"/>
      <c r="M40" s="241"/>
      <c r="N40" s="255" t="s">
        <v>22</v>
      </c>
      <c r="O40" s="2">
        <f>IF(AND(MODULO!$AN17&lt;&gt;0,MODULO!$BD17=30),INDEX(Foglio1!$A$30:$M$52,MATCH(MODULO!$AR17,Foglio1!$A$30:$A$52,0),MATCH(MODULO!$AP17,Foglio1!$A$30:$M$30,0)),0)</f>
        <v>0</v>
      </c>
      <c r="P40" s="2"/>
      <c r="Q40" s="18"/>
      <c r="R40" s="84"/>
    </row>
    <row r="41" spans="1:18" hidden="1">
      <c r="A41" s="18">
        <v>480</v>
      </c>
      <c r="C41">
        <v>17.45</v>
      </c>
      <c r="O41" s="2"/>
    </row>
    <row r="42" spans="1:18" hidden="1">
      <c r="A42" s="240">
        <v>500</v>
      </c>
      <c r="B42" s="241"/>
      <c r="C42" s="241">
        <v>18.05</v>
      </c>
      <c r="D42" s="241">
        <v>19.670000000000002</v>
      </c>
      <c r="E42" s="241"/>
      <c r="F42" s="241"/>
      <c r="G42" s="241"/>
      <c r="H42" s="241">
        <v>26.58</v>
      </c>
      <c r="I42" s="241">
        <v>29.15</v>
      </c>
      <c r="J42" s="241"/>
      <c r="K42" s="241"/>
      <c r="L42" s="241"/>
      <c r="M42" s="241"/>
      <c r="N42" s="255" t="s">
        <v>23</v>
      </c>
      <c r="O42" s="2">
        <f>IF(AND(MODULO!$AN19&lt;&gt;0,MODULO!$BD19=30),INDEX(Foglio1!$A$30:$M$52,MATCH(MODULO!$AR19,Foglio1!$A$30:$A$52,0),MATCH(MODULO!$AP19,Foglio1!$A$30:$M$30,0)),0)</f>
        <v>0</v>
      </c>
    </row>
    <row r="43" spans="1:18" hidden="1">
      <c r="A43" s="18">
        <v>520</v>
      </c>
      <c r="O43" s="2"/>
    </row>
    <row r="44" spans="1:18" hidden="1">
      <c r="A44" s="240">
        <v>550</v>
      </c>
      <c r="B44" s="241"/>
      <c r="C44" s="241">
        <v>19.63</v>
      </c>
      <c r="D44" s="241">
        <v>21.4</v>
      </c>
      <c r="E44" s="241"/>
      <c r="F44" s="241"/>
      <c r="G44" s="241"/>
      <c r="H44" s="241">
        <v>28.56</v>
      </c>
      <c r="I44" s="241">
        <v>31.3</v>
      </c>
      <c r="J44" s="241"/>
      <c r="K44" s="241"/>
      <c r="L44" s="241"/>
      <c r="M44" s="241"/>
      <c r="N44" s="255" t="s">
        <v>24</v>
      </c>
      <c r="O44" s="2">
        <f>IF(AND(MODULO!$AN21&lt;&gt;0,MODULO!$BD21=30),INDEX(Foglio1!$A$30:$M$52,MATCH(MODULO!$AR21,Foglio1!$A$30:$A$52,0),MATCH(MODULO!$AP21,Foglio1!$A$30:$M$30,0)),0)</f>
        <v>0</v>
      </c>
    </row>
    <row r="45" spans="1:18" hidden="1">
      <c r="A45" s="18">
        <v>580</v>
      </c>
      <c r="O45" s="2"/>
    </row>
    <row r="46" spans="1:18" hidden="1">
      <c r="A46" s="240">
        <v>600</v>
      </c>
      <c r="B46" s="241"/>
      <c r="C46" s="241">
        <v>22.01</v>
      </c>
      <c r="D46" s="241"/>
      <c r="E46" s="241"/>
      <c r="F46" s="241"/>
      <c r="G46" s="241"/>
      <c r="H46" s="241">
        <v>30.84</v>
      </c>
      <c r="I46" s="241">
        <v>33.869999999999997</v>
      </c>
      <c r="J46" s="241"/>
      <c r="K46" s="241"/>
      <c r="L46" s="241"/>
      <c r="M46" s="241"/>
      <c r="N46" s="255" t="s">
        <v>25</v>
      </c>
      <c r="O46" s="2">
        <f>IF(AND(MODULO!$AN23&lt;&gt;0,MODULO!$BD23=30),INDEX(Foglio1!$A$30:$M$52,MATCH(MODULO!$AR23,Foglio1!$A$30:$A$52,0),MATCH(MODULO!$AP23,Foglio1!$A$30:$M$30,0)),0)</f>
        <v>0</v>
      </c>
    </row>
    <row r="47" spans="1:18" hidden="1">
      <c r="A47" s="18">
        <v>650</v>
      </c>
      <c r="O47" s="2"/>
    </row>
    <row r="48" spans="1:18" hidden="1">
      <c r="A48" s="240">
        <v>700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55" t="s">
        <v>26</v>
      </c>
      <c r="O48" s="2">
        <f>IF(AND(MODULO!$AN25&lt;&gt;0,MODULO!$BD25=30),INDEX(Foglio1!$A$30:$M$52,MATCH(MODULO!$AR25,Foglio1!$A$30:$A$52,0),MATCH(MODULO!$AP25,Foglio1!$A$30:$M$30,0)),0)</f>
        <v>0</v>
      </c>
    </row>
    <row r="49" spans="1:15" hidden="1">
      <c r="A49" s="18">
        <v>750</v>
      </c>
      <c r="O49" s="2"/>
    </row>
    <row r="50" spans="1:15" hidden="1">
      <c r="A50" s="240">
        <v>800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55" t="s">
        <v>27</v>
      </c>
      <c r="O50" s="2">
        <f>IF(AND(MODULO!$AN27&lt;&gt;0,MODULO!$BD27=30),INDEX(Foglio1!$A$30:$M$52,MATCH(MODULO!$AR27,Foglio1!$A$30:$A$52,0),MATCH(MODULO!$AP27,Foglio1!$A$30:$M$30,0)),0)</f>
        <v>0</v>
      </c>
    </row>
    <row r="51" spans="1:15" hidden="1">
      <c r="A51" s="18">
        <v>850</v>
      </c>
      <c r="O51" s="2"/>
    </row>
    <row r="52" spans="1:15" hidden="1">
      <c r="A52" s="240">
        <v>900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</row>
    <row r="53" spans="1:15" hidden="1"/>
    <row r="54" spans="1:15" hidden="1"/>
    <row r="55" spans="1:15" ht="15.6" hidden="1">
      <c r="A55" s="237" t="s">
        <v>157</v>
      </c>
      <c r="B55" s="243" t="s">
        <v>100</v>
      </c>
      <c r="C55" s="604" t="s">
        <v>78</v>
      </c>
      <c r="D55" s="605"/>
      <c r="E55" s="605"/>
      <c r="F55" s="604" t="s">
        <v>160</v>
      </c>
      <c r="G55" s="605"/>
      <c r="H55" s="604" t="s">
        <v>81</v>
      </c>
      <c r="I55" s="604"/>
      <c r="J55" s="601" t="s">
        <v>161</v>
      </c>
      <c r="K55" s="602"/>
      <c r="L55" s="602"/>
      <c r="M55" s="603"/>
    </row>
    <row r="56" spans="1:15" ht="15.6" hidden="1">
      <c r="A56" s="237"/>
      <c r="B56" s="92" t="s">
        <v>90</v>
      </c>
      <c r="C56" s="92" t="s">
        <v>103</v>
      </c>
      <c r="D56" s="239" t="s">
        <v>85</v>
      </c>
      <c r="E56" s="89" t="s">
        <v>104</v>
      </c>
      <c r="F56" s="92" t="s">
        <v>105</v>
      </c>
      <c r="G56" s="238" t="s">
        <v>106</v>
      </c>
      <c r="H56" s="92" t="s">
        <v>101</v>
      </c>
      <c r="I56" s="238" t="s">
        <v>102</v>
      </c>
      <c r="J56" s="92" t="s">
        <v>150</v>
      </c>
      <c r="K56" s="92" t="s">
        <v>162</v>
      </c>
      <c r="L56" s="238" t="s">
        <v>151</v>
      </c>
      <c r="M56" s="238"/>
      <c r="N56" s="255"/>
    </row>
    <row r="57" spans="1:15" hidden="1">
      <c r="A57" s="18">
        <v>250</v>
      </c>
      <c r="J57">
        <v>22</v>
      </c>
      <c r="K57">
        <f>J57+3.13</f>
        <v>25.13</v>
      </c>
    </row>
    <row r="58" spans="1:15" hidden="1">
      <c r="A58" s="240">
        <v>270</v>
      </c>
      <c r="B58" s="241"/>
      <c r="C58" s="241"/>
      <c r="D58" s="241"/>
      <c r="E58" s="241"/>
      <c r="F58" s="241"/>
      <c r="G58" s="241"/>
      <c r="H58" s="241"/>
      <c r="I58" s="241"/>
      <c r="J58" s="241">
        <v>22</v>
      </c>
      <c r="K58" s="241">
        <f t="shared" ref="K58:K72" si="0">J58+3.13</f>
        <v>25.13</v>
      </c>
      <c r="L58" s="241">
        <f>J58</f>
        <v>22</v>
      </c>
      <c r="M58" s="241"/>
      <c r="N58" s="255" t="s">
        <v>16</v>
      </c>
      <c r="O58">
        <f>IF(AND(MODULO!$AN9&lt;&gt;0,MODULO!$BD9=40),INDEX(Foglio1!$A$56:$M$78,MATCH(MODULO!$AR9,Foglio1!$A$56:$A$78,0),MATCH(MODULO!$AP9,Foglio1!$A$56:$M$56,0)),0)</f>
        <v>0</v>
      </c>
    </row>
    <row r="59" spans="1:15" hidden="1">
      <c r="A59" s="18">
        <v>280</v>
      </c>
    </row>
    <row r="60" spans="1:15" hidden="1">
      <c r="A60" s="240">
        <v>300</v>
      </c>
      <c r="B60" s="241"/>
      <c r="C60" s="241"/>
      <c r="D60" s="241"/>
      <c r="E60" s="241"/>
      <c r="F60" s="241">
        <v>18.3</v>
      </c>
      <c r="G60" s="241">
        <f>F60</f>
        <v>18.3</v>
      </c>
      <c r="H60" s="241"/>
      <c r="I60" s="241"/>
      <c r="J60" s="241">
        <v>22</v>
      </c>
      <c r="K60" s="241">
        <f t="shared" si="0"/>
        <v>25.13</v>
      </c>
      <c r="L60" s="241">
        <f>J60</f>
        <v>22</v>
      </c>
      <c r="M60" s="241"/>
      <c r="N60" s="255" t="s">
        <v>17</v>
      </c>
      <c r="O60">
        <f>IF(AND(MODULO!$AN11&lt;&gt;0,MODULO!$BD11=40),INDEX(Foglio1!$A$56:$M$78,MATCH(MODULO!$AR11,Foglio1!$A$56:$A$78,0),MATCH(MODULO!$AP11,Foglio1!$A$56:$M$56,0)),0)</f>
        <v>0</v>
      </c>
    </row>
    <row r="61" spans="1:15" hidden="1">
      <c r="A61" s="18">
        <v>320</v>
      </c>
      <c r="J61">
        <v>22</v>
      </c>
      <c r="K61">
        <f t="shared" si="0"/>
        <v>25.13</v>
      </c>
      <c r="L61">
        <f>J61</f>
        <v>22</v>
      </c>
    </row>
    <row r="62" spans="1:15" hidden="1">
      <c r="A62" s="240">
        <v>350</v>
      </c>
      <c r="B62" s="241"/>
      <c r="C62" s="241"/>
      <c r="D62" s="241"/>
      <c r="E62" s="241"/>
      <c r="F62" s="241">
        <v>18.3</v>
      </c>
      <c r="G62" s="241">
        <f t="shared" ref="G62" si="1">F62</f>
        <v>18.3</v>
      </c>
      <c r="H62" s="241"/>
      <c r="I62" s="241"/>
      <c r="J62" s="241">
        <v>22</v>
      </c>
      <c r="K62" s="241">
        <f t="shared" si="0"/>
        <v>25.13</v>
      </c>
      <c r="L62" s="241">
        <f t="shared" ref="L62:L72" si="2">J62</f>
        <v>22</v>
      </c>
      <c r="M62" s="241"/>
      <c r="N62" s="255" t="s">
        <v>18</v>
      </c>
      <c r="O62">
        <f>IF(AND(MODULO!$AN13&lt;&gt;0,MODULO!$BD13=40),INDEX(Foglio1!$A$56:$M$78,MATCH(MODULO!$AR13,Foglio1!$A$56:$A$78,0),MATCH(MODULO!$AP13,Foglio1!$A$56:$M$56,0)),0)</f>
        <v>0</v>
      </c>
    </row>
    <row r="63" spans="1:15" hidden="1">
      <c r="A63" s="18">
        <v>380</v>
      </c>
      <c r="J63">
        <v>22.22</v>
      </c>
      <c r="K63">
        <f t="shared" si="0"/>
        <v>25.349999999999998</v>
      </c>
      <c r="L63">
        <f t="shared" si="2"/>
        <v>22.22</v>
      </c>
    </row>
    <row r="64" spans="1:15" hidden="1">
      <c r="A64" s="240">
        <v>400</v>
      </c>
      <c r="B64" s="241"/>
      <c r="C64" s="241"/>
      <c r="D64" s="241"/>
      <c r="E64" s="241"/>
      <c r="F64" s="241">
        <v>18.48</v>
      </c>
      <c r="G64" s="241">
        <f t="shared" ref="G64" si="3">F64</f>
        <v>18.48</v>
      </c>
      <c r="H64" s="241"/>
      <c r="I64" s="241"/>
      <c r="J64" s="241">
        <v>22.22</v>
      </c>
      <c r="K64" s="241">
        <f t="shared" si="0"/>
        <v>25.349999999999998</v>
      </c>
      <c r="L64" s="241">
        <f t="shared" si="2"/>
        <v>22.22</v>
      </c>
      <c r="M64" s="241"/>
      <c r="N64" s="255" t="s">
        <v>19</v>
      </c>
      <c r="O64">
        <f>IF(AND(MODULO!$AN15&lt;&gt;0,MODULO!$BD15=40),INDEX(Foglio1!$A$56:$M$78,MATCH(MODULO!$AR15,Foglio1!$A$56:$A$78,0),MATCH(MODULO!$AP15,Foglio1!$A$56:$M$56,0)),0)</f>
        <v>0</v>
      </c>
    </row>
    <row r="65" spans="1:15" hidden="1">
      <c r="A65" s="18">
        <v>420</v>
      </c>
      <c r="J65">
        <v>22.45</v>
      </c>
      <c r="K65">
        <f t="shared" si="0"/>
        <v>25.58</v>
      </c>
      <c r="L65">
        <f t="shared" si="2"/>
        <v>22.45</v>
      </c>
    </row>
    <row r="66" spans="1:15" hidden="1">
      <c r="A66" s="240">
        <v>450</v>
      </c>
      <c r="B66" s="241"/>
      <c r="C66" s="241"/>
      <c r="D66" s="241"/>
      <c r="E66" s="241"/>
      <c r="F66" s="241">
        <v>18.690000000000001</v>
      </c>
      <c r="G66" s="241">
        <f t="shared" ref="G66" si="4">F66</f>
        <v>18.690000000000001</v>
      </c>
      <c r="H66" s="241"/>
      <c r="I66" s="241"/>
      <c r="J66" s="241">
        <v>22.45</v>
      </c>
      <c r="K66" s="241">
        <f t="shared" si="0"/>
        <v>25.58</v>
      </c>
      <c r="L66" s="241">
        <f t="shared" si="2"/>
        <v>22.45</v>
      </c>
      <c r="M66" s="241"/>
      <c r="N66" s="255" t="s">
        <v>22</v>
      </c>
      <c r="O66">
        <f>IF(AND(MODULO!$AN17&lt;&gt;0,MODULO!$BD17=40),INDEX(Foglio1!$A$56:$M$78,MATCH(MODULO!$AR17,Foglio1!$A$56:$A$78,0),MATCH(MODULO!$AP17,Foglio1!$A$56:$M$56,0)),0)</f>
        <v>0</v>
      </c>
    </row>
    <row r="67" spans="1:15" hidden="1">
      <c r="A67" s="18">
        <v>480</v>
      </c>
      <c r="J67">
        <v>22.67</v>
      </c>
      <c r="K67">
        <f t="shared" si="0"/>
        <v>25.8</v>
      </c>
      <c r="L67">
        <f t="shared" si="2"/>
        <v>22.67</v>
      </c>
    </row>
    <row r="68" spans="1:15" hidden="1">
      <c r="A68" s="240">
        <v>500</v>
      </c>
      <c r="B68" s="241"/>
      <c r="C68" s="241"/>
      <c r="D68" s="241"/>
      <c r="E68" s="241"/>
      <c r="F68" s="241">
        <v>18.89</v>
      </c>
      <c r="G68" s="241">
        <f t="shared" ref="G68" si="5">F68</f>
        <v>18.89</v>
      </c>
      <c r="H68" s="241"/>
      <c r="I68" s="241"/>
      <c r="J68" s="241">
        <v>22.67</v>
      </c>
      <c r="K68" s="241">
        <f t="shared" si="0"/>
        <v>25.8</v>
      </c>
      <c r="L68" s="241">
        <f t="shared" si="2"/>
        <v>22.67</v>
      </c>
      <c r="M68" s="241"/>
      <c r="N68" s="255" t="s">
        <v>23</v>
      </c>
      <c r="O68">
        <f>IF(AND(MODULO!$AN19&lt;&gt;0,MODULO!$BD19=40),INDEX(Foglio1!$A$56:$M$78,MATCH(MODULO!$AR19,Foglio1!$A$56:$A$78,0),MATCH(MODULO!$AP19,Foglio1!$A$56:$M$56,0)),0)</f>
        <v>0</v>
      </c>
    </row>
    <row r="69" spans="1:15" hidden="1">
      <c r="A69" s="18">
        <v>520</v>
      </c>
      <c r="J69">
        <v>23.87</v>
      </c>
      <c r="K69">
        <f t="shared" si="0"/>
        <v>27</v>
      </c>
      <c r="L69">
        <f t="shared" si="2"/>
        <v>23.87</v>
      </c>
    </row>
    <row r="70" spans="1:15" hidden="1">
      <c r="A70" s="240">
        <v>550</v>
      </c>
      <c r="B70" s="241"/>
      <c r="C70" s="241"/>
      <c r="D70" s="241"/>
      <c r="E70" s="241"/>
      <c r="F70" s="241">
        <v>19.93</v>
      </c>
      <c r="G70" s="241">
        <f t="shared" ref="G70" si="6">F70</f>
        <v>19.93</v>
      </c>
      <c r="H70" s="241"/>
      <c r="I70" s="241"/>
      <c r="J70" s="241">
        <v>23.87</v>
      </c>
      <c r="K70" s="241">
        <f t="shared" si="0"/>
        <v>27</v>
      </c>
      <c r="L70" s="241">
        <f t="shared" si="2"/>
        <v>23.87</v>
      </c>
      <c r="M70" s="241"/>
      <c r="N70" s="255" t="s">
        <v>24</v>
      </c>
      <c r="O70">
        <f>IF(AND(MODULO!$AN21&lt;&gt;0,MODULO!$BD21=40),INDEX(Foglio1!$A$56:$M$78,MATCH(MODULO!$AR21,Foglio1!$A$56:$A$78,0),MATCH(MODULO!$AP21,Foglio1!$A$56:$M$56,0)),0)</f>
        <v>0</v>
      </c>
    </row>
    <row r="71" spans="1:15" hidden="1">
      <c r="A71" s="18">
        <v>580</v>
      </c>
    </row>
    <row r="72" spans="1:15" hidden="1">
      <c r="A72" s="240">
        <v>600</v>
      </c>
      <c r="B72" s="241"/>
      <c r="C72" s="241"/>
      <c r="D72" s="241"/>
      <c r="E72" s="241"/>
      <c r="F72" s="241">
        <v>20.16</v>
      </c>
      <c r="G72" s="241">
        <f t="shared" ref="G72" si="7">F72</f>
        <v>20.16</v>
      </c>
      <c r="H72" s="241"/>
      <c r="I72" s="241"/>
      <c r="J72" s="241">
        <v>25.96</v>
      </c>
      <c r="K72" s="241">
        <f t="shared" si="0"/>
        <v>29.09</v>
      </c>
      <c r="L72" s="241">
        <f t="shared" si="2"/>
        <v>25.96</v>
      </c>
      <c r="M72" s="241"/>
      <c r="N72" s="255" t="s">
        <v>25</v>
      </c>
      <c r="O72">
        <f>IF(AND(MODULO!$AN23&lt;&gt;0,MODULO!$BD23=40),INDEX(Foglio1!$A$56:$M$78,MATCH(MODULO!$AR23,Foglio1!$A$56:$A$78,0),MATCH(MODULO!$AP23,Foglio1!$A$56:$M$56,0)),0)</f>
        <v>0</v>
      </c>
    </row>
    <row r="73" spans="1:15" hidden="1">
      <c r="A73" s="18">
        <v>650</v>
      </c>
    </row>
    <row r="74" spans="1:15" hidden="1">
      <c r="A74" s="240">
        <v>700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55" t="s">
        <v>26</v>
      </c>
      <c r="O74">
        <f>IF(AND(MODULO!$AN25&lt;&gt;0,MODULO!$BD25=40),INDEX(Foglio1!$A$56:$M$78,MATCH(MODULO!$AR25,Foglio1!$A$56:$A$78,0),MATCH(MODULO!$AP25,Foglio1!$A$56:$M$56,0)),0)</f>
        <v>0</v>
      </c>
    </row>
    <row r="75" spans="1:15" hidden="1">
      <c r="A75" s="18">
        <v>750</v>
      </c>
    </row>
    <row r="76" spans="1:15" hidden="1">
      <c r="A76" s="240">
        <v>800</v>
      </c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55" t="s">
        <v>27</v>
      </c>
      <c r="O76">
        <f>IF(AND(MODULO!$AN27&lt;&gt;0,MODULO!$BD27=40),INDEX(Foglio1!$A$56:$M$78,MATCH(MODULO!$AR27,Foglio1!$A$56:$A$78,0),MATCH(MODULO!$AP27,Foglio1!$A$56:$M$56,0)),0)</f>
        <v>0</v>
      </c>
    </row>
    <row r="77" spans="1:15" hidden="1">
      <c r="A77" s="18">
        <v>850</v>
      </c>
    </row>
    <row r="78" spans="1:15" hidden="1">
      <c r="A78" s="240">
        <v>900</v>
      </c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56"/>
    </row>
    <row r="79" spans="1:15" hidden="1"/>
    <row r="80" spans="1:15" hidden="1">
      <c r="N80" s="256"/>
    </row>
    <row r="81" spans="1:15" ht="15.6" hidden="1">
      <c r="A81" s="237" t="s">
        <v>158</v>
      </c>
      <c r="B81" s="243" t="s">
        <v>100</v>
      </c>
      <c r="C81" s="604" t="s">
        <v>78</v>
      </c>
      <c r="D81" s="605"/>
      <c r="E81" s="605"/>
      <c r="F81" s="604" t="s">
        <v>80</v>
      </c>
      <c r="G81" s="605"/>
      <c r="H81" s="604" t="s">
        <v>81</v>
      </c>
      <c r="I81" s="604"/>
      <c r="J81" s="601" t="s">
        <v>46</v>
      </c>
      <c r="K81" s="602"/>
      <c r="L81" s="602"/>
      <c r="M81" s="603"/>
    </row>
    <row r="82" spans="1:15" ht="15.6" hidden="1">
      <c r="A82" s="237"/>
      <c r="B82" s="92" t="s">
        <v>90</v>
      </c>
      <c r="C82" s="92" t="s">
        <v>103</v>
      </c>
      <c r="D82" s="239" t="s">
        <v>85</v>
      </c>
      <c r="E82" s="89" t="s">
        <v>104</v>
      </c>
      <c r="F82" s="92" t="s">
        <v>105</v>
      </c>
      <c r="G82" s="238" t="s">
        <v>106</v>
      </c>
      <c r="H82" s="92" t="s">
        <v>101</v>
      </c>
      <c r="I82" s="238" t="s">
        <v>102</v>
      </c>
      <c r="J82" s="89" t="s">
        <v>150</v>
      </c>
      <c r="K82" s="89" t="s">
        <v>162</v>
      </c>
      <c r="L82" s="238" t="s">
        <v>151</v>
      </c>
      <c r="M82" s="238"/>
    </row>
    <row r="83" spans="1:15" hidden="1">
      <c r="A83" s="18">
        <v>250</v>
      </c>
    </row>
    <row r="84" spans="1:15" hidden="1">
      <c r="A84" s="240">
        <v>270</v>
      </c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55" t="s">
        <v>16</v>
      </c>
      <c r="O84">
        <f>IF(AND(MODULO!$AN9&lt;&gt;0,MODULO!$BD9=50),INDEX(Foglio1!$A$82:$M$104,MATCH(MODULO!$AR9,Foglio1!$A$82:$A$104,0),MATCH(MODULO!$AP9,Foglio1!$A$82:$M$82,0)),0)</f>
        <v>0</v>
      </c>
    </row>
    <row r="85" spans="1:15" hidden="1">
      <c r="A85" s="18">
        <v>280</v>
      </c>
    </row>
    <row r="86" spans="1:15" hidden="1">
      <c r="A86" s="240">
        <v>300</v>
      </c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55" t="s">
        <v>17</v>
      </c>
      <c r="O86">
        <f>IF(AND(MODULO!$AN11&lt;&gt;0,MODULO!$BD11=50),INDEX(Foglio1!$A$82:$M$104,MATCH(MODULO!$AR11,Foglio1!$A$82:$A$104,0),MATCH(MODULO!$AP11,Foglio1!$A$82:$M$82,0)),0)</f>
        <v>0</v>
      </c>
    </row>
    <row r="87" spans="1:15" hidden="1">
      <c r="A87" s="18">
        <v>320</v>
      </c>
    </row>
    <row r="88" spans="1:15" hidden="1">
      <c r="A88" s="240">
        <v>350</v>
      </c>
      <c r="B88" s="241"/>
      <c r="C88" s="241">
        <v>20.14</v>
      </c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55" t="s">
        <v>18</v>
      </c>
      <c r="O88">
        <f>IF(AND(MODULO!$AN13&lt;&gt;0,MODULO!$BD13=50),INDEX(Foglio1!$A$82:$M$104,MATCH(MODULO!$AR13,Foglio1!$A$82:$A$104,0),MATCH(MODULO!$AP13,Foglio1!$A$82:$M$82,0)),0)</f>
        <v>0</v>
      </c>
    </row>
    <row r="89" spans="1:15" hidden="1">
      <c r="A89" s="18">
        <v>380</v>
      </c>
    </row>
    <row r="90" spans="1:15" hidden="1">
      <c r="A90" s="240">
        <v>400</v>
      </c>
      <c r="B90" s="241"/>
      <c r="C90" s="241">
        <v>21.19</v>
      </c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55" t="s">
        <v>19</v>
      </c>
      <c r="O90">
        <f>IF(AND(MODULO!$AN15&lt;&gt;0,MODULO!$BD15=50),INDEX(Foglio1!$A$82:$M$104,MATCH(MODULO!$AR15,Foglio1!$A$82:$A$104,0),MATCH(MODULO!$AP15,Foglio1!$A$82:$M$82,0)),0)</f>
        <v>0</v>
      </c>
    </row>
    <row r="91" spans="1:15" hidden="1">
      <c r="A91" s="18">
        <v>420</v>
      </c>
    </row>
    <row r="92" spans="1:15" hidden="1">
      <c r="A92" s="240">
        <v>450</v>
      </c>
      <c r="B92" s="241"/>
      <c r="C92" s="241">
        <v>22.23</v>
      </c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55" t="s">
        <v>22</v>
      </c>
      <c r="O92">
        <f>IF(AND(MODULO!$AN17&lt;&gt;0,MODULO!$BD17=50),INDEX(Foglio1!$A$82:$M$104,MATCH(MODULO!$AR17,Foglio1!$A$82:$A$104,0),MATCH(MODULO!$AP17,Foglio1!$A$82:$M$82,0)),0)</f>
        <v>0</v>
      </c>
    </row>
    <row r="93" spans="1:15" hidden="1">
      <c r="A93" s="18">
        <v>480</v>
      </c>
    </row>
    <row r="94" spans="1:15" hidden="1">
      <c r="A94" s="240">
        <v>500</v>
      </c>
      <c r="B94" s="241"/>
      <c r="C94" s="241">
        <v>23.78</v>
      </c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55" t="s">
        <v>23</v>
      </c>
      <c r="O94">
        <f>IF(AND(MODULO!$AN19&lt;&gt;0,MODULO!$BD19=50),INDEX(Foglio1!$A$82:$M$104,MATCH(MODULO!$AR19,Foglio1!$A$82:$A$104,0),MATCH(MODULO!$AP19,Foglio1!$A$82:$M$82,0)),0)</f>
        <v>0</v>
      </c>
    </row>
    <row r="95" spans="1:15" hidden="1">
      <c r="A95" s="18">
        <v>520</v>
      </c>
    </row>
    <row r="96" spans="1:15" hidden="1">
      <c r="A96" s="240">
        <v>550</v>
      </c>
      <c r="B96" s="241"/>
      <c r="C96" s="241">
        <v>25.85</v>
      </c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55" t="s">
        <v>24</v>
      </c>
      <c r="O96">
        <f>IF(AND(MODULO!$AN21&lt;&gt;0,MODULO!$BD21=50),INDEX(Foglio1!$A$82:$M$104,MATCH(MODULO!$AR21,Foglio1!$A$82:$A$104,0),MATCH(MODULO!$AP21,Foglio1!$A$82:$M$82,0)),0)</f>
        <v>0</v>
      </c>
    </row>
    <row r="97" spans="1:20" hidden="1">
      <c r="A97" s="18">
        <v>580</v>
      </c>
    </row>
    <row r="98" spans="1:20" hidden="1">
      <c r="A98" s="240">
        <v>600</v>
      </c>
      <c r="B98" s="241"/>
      <c r="C98" s="241">
        <v>28.98</v>
      </c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55" t="s">
        <v>25</v>
      </c>
      <c r="O98">
        <f>IF(AND(MODULO!$AN23&lt;&gt;0,MODULO!$BD23=50),INDEX(Foglio1!$A$82:$M$104,MATCH(MODULO!$AR23,Foglio1!$A$82:$A$104,0),MATCH(MODULO!$AP23,Foglio1!$A$82:$M$82,0)),0)</f>
        <v>0</v>
      </c>
    </row>
    <row r="99" spans="1:20" hidden="1">
      <c r="A99" s="18">
        <v>650</v>
      </c>
    </row>
    <row r="100" spans="1:20" hidden="1">
      <c r="A100" s="240">
        <v>700</v>
      </c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55" t="s">
        <v>26</v>
      </c>
      <c r="O100">
        <f>IF(AND(MODULO!$AN25&lt;&gt;0,MODULO!$BD25=50),INDEX(Foglio1!$A$82:$M$104,MATCH(MODULO!$AR25,Foglio1!$A$82:$A$104,0),MATCH(MODULO!$AP25,Foglio1!$A$82:$M$82,0)),0)</f>
        <v>0</v>
      </c>
    </row>
    <row r="101" spans="1:20" hidden="1">
      <c r="A101" s="18">
        <v>750</v>
      </c>
    </row>
    <row r="102" spans="1:20" hidden="1">
      <c r="A102" s="240">
        <v>800</v>
      </c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55" t="s">
        <v>27</v>
      </c>
      <c r="O102">
        <f>IF(AND(MODULO!$AN27&lt;&gt;0,MODULO!$BD27=50),INDEX(Foglio1!$A$82:$M$104,MATCH(MODULO!$AR27,Foglio1!$A$82:$A$104,0),MATCH(MODULO!$AP27,Foglio1!$A$82:$M$82,0)),0)</f>
        <v>0</v>
      </c>
    </row>
    <row r="103" spans="1:20" hidden="1">
      <c r="A103" s="18">
        <v>850</v>
      </c>
    </row>
    <row r="104" spans="1:20" hidden="1">
      <c r="A104" s="240">
        <v>900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</row>
    <row r="105" spans="1:20" hidden="1"/>
    <row r="106" spans="1:20" hidden="1"/>
    <row r="107" spans="1:20" ht="15.6" hidden="1">
      <c r="A107" s="237" t="s">
        <v>159</v>
      </c>
      <c r="B107" s="243" t="s">
        <v>100</v>
      </c>
      <c r="C107" s="604" t="s">
        <v>78</v>
      </c>
      <c r="D107" s="605"/>
      <c r="E107" s="605"/>
      <c r="F107" s="604" t="s">
        <v>80</v>
      </c>
      <c r="G107" s="605"/>
      <c r="H107" s="604" t="s">
        <v>81</v>
      </c>
      <c r="I107" s="604"/>
      <c r="J107" s="601" t="s">
        <v>46</v>
      </c>
      <c r="K107" s="602"/>
      <c r="L107" s="602"/>
      <c r="M107" s="603"/>
    </row>
    <row r="108" spans="1:20" ht="15.6" hidden="1">
      <c r="A108" s="237"/>
      <c r="B108" s="92" t="s">
        <v>90</v>
      </c>
      <c r="C108" s="92" t="s">
        <v>103</v>
      </c>
      <c r="D108" s="239" t="s">
        <v>85</v>
      </c>
      <c r="E108" s="89" t="s">
        <v>104</v>
      </c>
      <c r="F108" s="92" t="s">
        <v>105</v>
      </c>
      <c r="G108" s="238" t="s">
        <v>106</v>
      </c>
      <c r="H108" s="92" t="s">
        <v>101</v>
      </c>
      <c r="I108" s="238" t="s">
        <v>102</v>
      </c>
      <c r="J108" s="89" t="s">
        <v>150</v>
      </c>
      <c r="K108" s="89" t="s">
        <v>162</v>
      </c>
      <c r="L108" s="238" t="s">
        <v>151</v>
      </c>
      <c r="M108" s="238"/>
    </row>
    <row r="109" spans="1:20" hidden="1">
      <c r="A109" s="18">
        <v>250</v>
      </c>
      <c r="S109" s="609" t="s">
        <v>165</v>
      </c>
      <c r="T109" s="609"/>
    </row>
    <row r="110" spans="1:20" hidden="1">
      <c r="A110" s="240">
        <v>270</v>
      </c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55" t="s">
        <v>16</v>
      </c>
      <c r="O110">
        <f>IF(AND(MODULO!$AN9&lt;&gt;0,MODULO!$BD9=70),INDEX(Foglio1!$A$108:$M$130,MATCH(MODULO!$AR9,Foglio1!$A$108:$A$130,0),MATCH(MODULO!$AP9,Foglio1!$A$108:$M$108,0)),0)</f>
        <v>0</v>
      </c>
      <c r="S110" s="255" t="s">
        <v>16</v>
      </c>
      <c r="T110">
        <f>SUM(O110+O84+O58+O32+O6)</f>
        <v>0</v>
      </c>
    </row>
    <row r="111" spans="1:20" hidden="1">
      <c r="A111" s="18">
        <v>280</v>
      </c>
    </row>
    <row r="112" spans="1:20" hidden="1">
      <c r="A112" s="240">
        <v>300</v>
      </c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55" t="s">
        <v>17</v>
      </c>
      <c r="O112">
        <f>IF(AND(MODULO!$AN11&lt;&gt;0,MODULO!$BD11=70),INDEX(Foglio1!$A$108:$M$130,MATCH(MODULO!$AR11,Foglio1!$A$108:$A$130,0),MATCH(MODULO!$AP11,Foglio1!$A$108:$M$108,0)),0)</f>
        <v>0</v>
      </c>
      <c r="S112" s="255" t="s">
        <v>17</v>
      </c>
      <c r="T112">
        <f t="shared" ref="T112" si="8">SUM(O112+O86+O60+O34+O8)</f>
        <v>0</v>
      </c>
    </row>
    <row r="113" spans="1:20" hidden="1">
      <c r="A113" s="18">
        <v>320</v>
      </c>
    </row>
    <row r="114" spans="1:20" hidden="1">
      <c r="A114" s="240">
        <v>350</v>
      </c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55" t="s">
        <v>18</v>
      </c>
      <c r="O114">
        <f>IF(AND(MODULO!$AN13&lt;&gt;0,MODULO!$BD13=70),INDEX(Foglio1!$A$108:$M$130,MATCH(MODULO!$AR13,Foglio1!$A$108:$A$130,0),MATCH(MODULO!$AP13,Foglio1!$A$108:$M$108,0)),0)</f>
        <v>0</v>
      </c>
      <c r="S114" s="255" t="s">
        <v>18</v>
      </c>
      <c r="T114">
        <f t="shared" ref="T114" si="9">SUM(O114+O88+O62+O36+O10)</f>
        <v>0</v>
      </c>
    </row>
    <row r="115" spans="1:20" hidden="1">
      <c r="A115" s="18">
        <v>380</v>
      </c>
    </row>
    <row r="116" spans="1:20" hidden="1">
      <c r="A116" s="240">
        <v>400</v>
      </c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55" t="s">
        <v>19</v>
      </c>
      <c r="O116">
        <f>IF(AND(MODULO!$AN15&lt;&gt;0,MODULO!$BD15=70),INDEX(Foglio1!$A$108:$M$130,MATCH(MODULO!$AR15,Foglio1!$A$108:$A$130,0),MATCH(MODULO!$AP15,Foglio1!$A$108:$M$108,0)),0)</f>
        <v>0</v>
      </c>
      <c r="S116" s="255" t="s">
        <v>19</v>
      </c>
      <c r="T116">
        <f t="shared" ref="T116" si="10">SUM(O116+O90+O64+O38+O12)</f>
        <v>0</v>
      </c>
    </row>
    <row r="117" spans="1:20" hidden="1">
      <c r="A117" s="18">
        <v>420</v>
      </c>
    </row>
    <row r="118" spans="1:20" hidden="1">
      <c r="A118" s="240">
        <v>450</v>
      </c>
      <c r="B118" s="241"/>
      <c r="C118" s="241"/>
      <c r="D118" s="241"/>
      <c r="E118" s="241"/>
      <c r="F118" s="241">
        <v>22.4</v>
      </c>
      <c r="G118" s="241">
        <f>F118</f>
        <v>22.4</v>
      </c>
      <c r="H118" s="241"/>
      <c r="I118" s="241"/>
      <c r="J118" s="241"/>
      <c r="K118" s="241"/>
      <c r="L118" s="241"/>
      <c r="M118" s="241"/>
      <c r="N118" s="255" t="s">
        <v>22</v>
      </c>
      <c r="O118">
        <f>IF(AND(MODULO!$AN17&lt;&gt;0,MODULO!$BD17=70),INDEX(Foglio1!$A$108:$M$130,MATCH(MODULO!$AR17,Foglio1!$A$108:$A$130,0),MATCH(MODULO!$AP17,Foglio1!$A$108:$M$108,0)),0)</f>
        <v>0</v>
      </c>
      <c r="S118" s="255" t="s">
        <v>22</v>
      </c>
      <c r="T118">
        <f t="shared" ref="T118" si="11">SUM(O118+O92+O66+O40+O14)</f>
        <v>0</v>
      </c>
    </row>
    <row r="119" spans="1:20" hidden="1">
      <c r="A119" s="18">
        <v>480</v>
      </c>
    </row>
    <row r="120" spans="1:20" hidden="1">
      <c r="A120" s="240">
        <v>500</v>
      </c>
      <c r="B120" s="241"/>
      <c r="C120" s="241"/>
      <c r="D120" s="241"/>
      <c r="E120" s="241"/>
      <c r="F120" s="241">
        <v>22.61</v>
      </c>
      <c r="G120" s="241">
        <f t="shared" ref="G120" si="12">F120</f>
        <v>22.61</v>
      </c>
      <c r="H120" s="241"/>
      <c r="I120" s="241"/>
      <c r="J120" s="241"/>
      <c r="K120" s="241"/>
      <c r="L120" s="241"/>
      <c r="M120" s="241"/>
      <c r="N120" s="255" t="s">
        <v>23</v>
      </c>
      <c r="O120">
        <f>IF(AND(MODULO!$AN19&lt;&gt;0,MODULO!$BD19=70),INDEX(Foglio1!$A$108:$M$130,MATCH(MODULO!$AR19,Foglio1!$A$108:$A$130,0),MATCH(MODULO!$AP19,Foglio1!$A$108:$M$108,0)),0)</f>
        <v>0</v>
      </c>
      <c r="S120" s="255" t="s">
        <v>23</v>
      </c>
      <c r="T120">
        <f t="shared" ref="T120" si="13">SUM(O120+O94+O68+O42+O16)</f>
        <v>0</v>
      </c>
    </row>
    <row r="121" spans="1:20" hidden="1">
      <c r="A121" s="18">
        <v>520</v>
      </c>
    </row>
    <row r="122" spans="1:20" hidden="1">
      <c r="A122" s="240">
        <v>550</v>
      </c>
      <c r="B122" s="241"/>
      <c r="C122" s="241"/>
      <c r="D122" s="241"/>
      <c r="E122" s="241"/>
      <c r="F122" s="241">
        <v>23.64</v>
      </c>
      <c r="G122" s="241">
        <f t="shared" ref="G122" si="14">F122</f>
        <v>23.64</v>
      </c>
      <c r="H122" s="241"/>
      <c r="I122" s="241"/>
      <c r="J122" s="241"/>
      <c r="K122" s="241"/>
      <c r="L122" s="241"/>
      <c r="M122" s="241"/>
      <c r="N122" s="255" t="s">
        <v>24</v>
      </c>
      <c r="O122">
        <f>IF(AND(MODULO!$AN21&lt;&gt;0,MODULO!$BD21=70),INDEX(Foglio1!$A$108:$M$130,MATCH(MODULO!$AR21,Foglio1!$A$108:$A$130,0),MATCH(MODULO!$AP21,Foglio1!$A$108:$M$108,0)),0)</f>
        <v>0</v>
      </c>
      <c r="S122" s="255" t="s">
        <v>24</v>
      </c>
      <c r="T122">
        <f t="shared" ref="T122" si="15">SUM(O122+O96+O70+O44+O18)</f>
        <v>0</v>
      </c>
    </row>
    <row r="123" spans="1:20" hidden="1">
      <c r="A123" s="18">
        <v>580</v>
      </c>
    </row>
    <row r="124" spans="1:20" hidden="1">
      <c r="A124" s="240">
        <v>600</v>
      </c>
      <c r="B124" s="241"/>
      <c r="C124" s="241"/>
      <c r="D124" s="241"/>
      <c r="E124" s="241"/>
      <c r="F124" s="241">
        <v>25.77</v>
      </c>
      <c r="G124" s="241">
        <f t="shared" ref="G124" si="16">F124</f>
        <v>25.77</v>
      </c>
      <c r="H124" s="241"/>
      <c r="I124" s="241"/>
      <c r="J124" s="241"/>
      <c r="K124" s="241"/>
      <c r="L124" s="241"/>
      <c r="M124" s="241"/>
      <c r="N124" s="255" t="s">
        <v>25</v>
      </c>
      <c r="O124">
        <f>IF(AND(MODULO!$AN23&lt;&gt;0,MODULO!$BD23=70),INDEX(Foglio1!$A$108:$M$130,MATCH(MODULO!$AR23,Foglio1!$A$108:$A$130,0),MATCH(MODULO!$AP23,Foglio1!$A$108:$M$108,0)),0)</f>
        <v>0</v>
      </c>
      <c r="S124" s="255" t="s">
        <v>25</v>
      </c>
      <c r="T124">
        <f t="shared" ref="T124" si="17">SUM(O124+O98+O72+O46+O20)</f>
        <v>0</v>
      </c>
    </row>
    <row r="125" spans="1:20" hidden="1">
      <c r="A125" s="18">
        <v>650</v>
      </c>
    </row>
    <row r="126" spans="1:20" hidden="1">
      <c r="A126" s="240">
        <v>700</v>
      </c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55" t="s">
        <v>26</v>
      </c>
      <c r="O126">
        <f>IF(AND(MODULO!$AN25&lt;&gt;0,MODULO!$BD25=70),INDEX(Foglio1!$A$108:$M$130,MATCH(MODULO!$AR25,Foglio1!$A$108:$A$130,0),MATCH(MODULO!$AP25,Foglio1!$A$108:$M$108,0)),0)</f>
        <v>0</v>
      </c>
      <c r="S126" s="255" t="s">
        <v>26</v>
      </c>
      <c r="T126">
        <f t="shared" ref="T126" si="18">SUM(O126+O100+O74+O48+O22)</f>
        <v>0</v>
      </c>
    </row>
    <row r="127" spans="1:20" hidden="1">
      <c r="A127" s="18">
        <v>750</v>
      </c>
      <c r="F127">
        <v>46.76</v>
      </c>
      <c r="G127">
        <v>46.76</v>
      </c>
    </row>
    <row r="128" spans="1:20" hidden="1">
      <c r="A128" s="240">
        <v>800</v>
      </c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55" t="s">
        <v>27</v>
      </c>
      <c r="O128">
        <f>IF(AND(MODULO!$AN27&lt;&gt;0,MODULO!$BD27=70),INDEX(Foglio1!$A$108:$M$130,MATCH(MODULO!$AR27,Foglio1!$A$108:$A$130,0),MATCH(MODULO!$AP27,Foglio1!$A$108:$M$108,0)),0)</f>
        <v>0</v>
      </c>
      <c r="S128" s="255" t="s">
        <v>27</v>
      </c>
      <c r="T128">
        <f t="shared" ref="T128" si="19">SUM(O128+O102+O76+O50+O24)</f>
        <v>0</v>
      </c>
    </row>
    <row r="129" spans="1:13" hidden="1">
      <c r="A129" s="18">
        <v>850</v>
      </c>
    </row>
    <row r="130" spans="1:13" hidden="1">
      <c r="A130" s="240">
        <v>900</v>
      </c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</row>
    <row r="131" spans="1:13" hidden="1"/>
    <row r="132" spans="1:13" hidden="1"/>
    <row r="133" spans="1:13" hidden="1"/>
    <row r="134" spans="1:13" hidden="1"/>
    <row r="135" spans="1:13" hidden="1"/>
    <row r="136" spans="1:13" hidden="1"/>
    <row r="137" spans="1:13" hidden="1"/>
    <row r="138" spans="1:13" hidden="1"/>
    <row r="139" spans="1:13" hidden="1"/>
    <row r="140" spans="1:13" hidden="1"/>
    <row r="141" spans="1:13" hidden="1"/>
    <row r="142" spans="1:13" hidden="1"/>
    <row r="143" spans="1:13" hidden="1"/>
    <row r="144" spans="1:13" hidden="1"/>
    <row r="145" spans="1:11" hidden="1"/>
    <row r="146" spans="1:11" hidden="1"/>
    <row r="147" spans="1:11" hidden="1"/>
    <row r="148" spans="1:11" hidden="1"/>
    <row r="149" spans="1:11" hidden="1"/>
    <row r="150" spans="1:11" hidden="1"/>
    <row r="151" spans="1:11" hidden="1"/>
    <row r="152" spans="1:11" hidden="1"/>
    <row r="153" spans="1:11" hidden="1"/>
    <row r="154" spans="1:11" hidden="1"/>
    <row r="155" spans="1:11" hidden="1"/>
    <row r="156" spans="1:11" hidden="1"/>
    <row r="157" spans="1:11" hidden="1"/>
    <row r="158" spans="1:11" hidden="1"/>
    <row r="159" spans="1:11" hidden="1">
      <c r="A159" s="601" t="s">
        <v>155</v>
      </c>
      <c r="B159" s="602"/>
      <c r="C159" s="602"/>
      <c r="D159" s="602"/>
      <c r="E159" s="603"/>
      <c r="G159" s="606" t="s">
        <v>46</v>
      </c>
      <c r="H159" s="607"/>
      <c r="I159" s="607"/>
      <c r="J159" s="607"/>
      <c r="K159" s="608"/>
    </row>
    <row r="160" spans="1:11" ht="13.8" hidden="1">
      <c r="A160" s="244" t="s">
        <v>146</v>
      </c>
      <c r="B160" s="245" t="s">
        <v>147</v>
      </c>
      <c r="C160" s="246" t="s">
        <v>148</v>
      </c>
      <c r="D160" s="247" t="s">
        <v>164</v>
      </c>
      <c r="E160" s="245"/>
      <c r="F160" s="246"/>
      <c r="G160" s="251" t="s">
        <v>169</v>
      </c>
      <c r="H160" s="252" t="s">
        <v>170</v>
      </c>
      <c r="I160" s="253" t="s">
        <v>153</v>
      </c>
      <c r="J160" s="254" t="s">
        <v>163</v>
      </c>
      <c r="K160" s="241"/>
    </row>
    <row r="161" spans="1:10" hidden="1">
      <c r="A161" s="90">
        <f>A163*2</f>
        <v>42.86</v>
      </c>
      <c r="B161" s="90">
        <f t="shared" ref="B161:J161" si="20">B163*2</f>
        <v>42.86</v>
      </c>
      <c r="C161" s="90">
        <f t="shared" si="20"/>
        <v>42.86</v>
      </c>
      <c r="D161" s="90">
        <f t="shared" si="20"/>
        <v>15.06</v>
      </c>
      <c r="E161" s="90">
        <f t="shared" si="20"/>
        <v>0</v>
      </c>
      <c r="F161" s="90">
        <f t="shared" si="20"/>
        <v>0</v>
      </c>
      <c r="G161" s="90">
        <f t="shared" si="20"/>
        <v>25</v>
      </c>
      <c r="H161" s="90">
        <f t="shared" si="20"/>
        <v>25</v>
      </c>
      <c r="I161" s="90">
        <f t="shared" si="20"/>
        <v>0</v>
      </c>
      <c r="J161" s="90">
        <f t="shared" si="20"/>
        <v>5.76</v>
      </c>
    </row>
    <row r="162" spans="1:10" hidden="1"/>
    <row r="163" spans="1:10" hidden="1">
      <c r="A163" s="90">
        <v>21.43</v>
      </c>
      <c r="B163" s="90">
        <v>21.43</v>
      </c>
      <c r="C163" s="90">
        <v>21.43</v>
      </c>
      <c r="D163" s="248">
        <v>7.53</v>
      </c>
      <c r="G163" s="90">
        <v>12.5</v>
      </c>
      <c r="H163" s="90">
        <v>12.5</v>
      </c>
      <c r="I163" s="90"/>
      <c r="J163" s="248">
        <v>2.88</v>
      </c>
    </row>
    <row r="164" spans="1:10" hidden="1"/>
    <row r="165" spans="1:10" hidden="1"/>
    <row r="166" spans="1:10" hidden="1"/>
    <row r="167" spans="1:10" hidden="1"/>
    <row r="168" spans="1:10" hidden="1"/>
    <row r="169" spans="1:10" hidden="1"/>
    <row r="170" spans="1:10" hidden="1"/>
    <row r="171" spans="1:10" hidden="1"/>
    <row r="172" spans="1:10" hidden="1"/>
    <row r="173" spans="1:10" hidden="1"/>
    <row r="174" spans="1:10" hidden="1"/>
    <row r="175" spans="1:10" hidden="1"/>
    <row r="176" spans="1:1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</sheetData>
  <sheetProtection algorithmName="SHA-512" hashValue="+LKJBFfvsABDtWbQ/9sfR1Q+z0rCwhqdIDk6wyyy9hR5FFpu1OE2ArRmbgY673G1dvlRfz9bElNPCa/mZsScSw==" saltValue="/0ZrR4jNpFR2q6cJ2muWnQ==" spinCount="100000" sheet="1" objects="1" scenarios="1" selectLockedCells="1"/>
  <mergeCells count="23">
    <mergeCell ref="S109:T109"/>
    <mergeCell ref="C55:E55"/>
    <mergeCell ref="F55:G55"/>
    <mergeCell ref="H55:I55"/>
    <mergeCell ref="J55:M55"/>
    <mergeCell ref="A159:E159"/>
    <mergeCell ref="C81:E81"/>
    <mergeCell ref="F81:G81"/>
    <mergeCell ref="H81:I81"/>
    <mergeCell ref="J81:M81"/>
    <mergeCell ref="C107:E107"/>
    <mergeCell ref="F107:G107"/>
    <mergeCell ref="H107:I107"/>
    <mergeCell ref="J107:M107"/>
    <mergeCell ref="G159:K159"/>
    <mergeCell ref="J3:M3"/>
    <mergeCell ref="H3:I3"/>
    <mergeCell ref="C3:E3"/>
    <mergeCell ref="F3:G3"/>
    <mergeCell ref="C29:E29"/>
    <mergeCell ref="F29:G29"/>
    <mergeCell ref="H29:I29"/>
    <mergeCell ref="J29:M29"/>
  </mergeCells>
  <phoneticPr fontId="48" type="noConversion"/>
  <pageMargins left="0.7" right="0.7" top="0.75" bottom="0.75" header="0.3" footer="0.3"/>
  <cellWatches>
    <cellWatch r="O56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s D A A B Q S w M E F A A C A A g A B I 0 9 U V Q p n h a k A A A A 9 Q A A A B I A H A B D b 2 5 m a W c v U G F j a 2 F n Z S 5 4 b W w g o h g A K K A U A A A A A A A A A A A A A A A A A A A A A A A A A A A A h Y + x D o I w F E V / h X S n r 6 I D I Y 8 y O J l I Y q I x r k 2 p 0 A j F 0 G L 5 N w c / y V 8 Q o 6 i b 4 7 3 n D P f e r z f M h q Y O L q q z u j U p m V F G A m V k W 2 h T p q R 3 x z A m G c e N k C d R q m C U j U 0 G W 6 S k c u 6 c A H j v q Z / T t i s h Y m w G h 3 y 9 l Z V q B P n I + r 8 c a m O d M F I R j v v X G B 7 R e E F j N k 5 C m D r M t f n y a G R P + l P i s q 9 d 3 y m u X b j a I U w R 4 X 2 B P w B Q S w M E F A A C A A g A B I 0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S N P V F 3 6 l N a 9 Q A A A E w C A A A T A B w A R m 9 y b X V s Y X M v U 2 V j d G l v b j E u b S C i G A A o o B Q A A A A A A A A A A A A A A A A A A A A A A A A A A A C 1 k E F L w 0 A Q h e + B / I d h v S S w B B r F S + k p K H h Q w Q Y 8 l B 6 2 6 d Q s 3 c y U z Q Q r I f / d l W o l t Z 7 E v S z M e / u 9 2 d d i J Z Y J 5 o d 7 M o 2 j O G p r 4 3 E N p V m h c 2 Y C M 3 A o c Q T h P H r 7 Y g n D 6 G Z f o c u K z n s k e W a / X T F v k 7 R f P J g G Z + r r s V o O i 4 J J g m m p D 4 w L d c 9 r u 7 G V E Q a x O 1 Y B F / w O s 9 I b a j f s m 4 J d 1 1 D 5 t s M 2 + c z U f a / C m I k C V Y M E D Q T 3 M m g 4 C v l I G N J j 4 q 1 1 4 o 0 g B F a N 3 4 F z d O H n T / z a J j / X 0 o C m q k F 8 h 2 k c W f o F d q a z / C + d 5 f / W 2 R 3 J 9 V X 2 4 T g t 7 b x y O V a G U Q u n C 0 3 f A V B L A Q I t A B Q A A g A I A A S N P V F U K Z 4 W p A A A A P U A A A A S A A A A A A A A A A A A A A A A A A A A A A B D b 2 5 m a W c v U G F j a 2 F n Z S 5 4 b W x Q S w E C L Q A U A A I A C A A E j T 1 R D 8 r p q 6 Q A A A D p A A A A E w A A A A A A A A A A A A A A A A D w A A A A W 0 N v b n R l b n R f V H l w Z X N d L n h t b F B L A Q I t A B Q A A g A I A A S N P V F 3 6 l N a 9 Q A A A E w C A A A T A A A A A A A A A A A A A A A A A O E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Q A A A A A A A A U x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1 V D E 0 O j E x O j E x L j g x O T A 2 O D V a I i A v P j x F b n R y e S B U e X B l P S J G a W x s Q 2 9 s d W 1 u V H l w Z X M i I F Z h b H V l P S J z Q m d Z P S I g L z 4 8 R W 5 0 c n k g V H l w Z T 0 i R m l s b E N v b H V t b k 5 h b W V z I i B W Y W x 1 Z T 0 i c 1 s m c X V v d D t D b 2 x v b m 5 h M S Z x d W 9 0 O y w m c X V v d D t D b 2 x v b m 5 h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1 v Z G l m a W N h d G 8 g d G l w b y 5 7 Q 2 9 s b 2 5 u Y T E s M H 0 m c X V v d D s s J n F 1 b 3 Q 7 U 2 V j d G l v b j E v V G F i Z W x s Y T E v T W 9 k a W Z p Y 2 F 0 b y B 0 a X B v L n t D b 2 x v b m 5 h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l b G x h M S 9 N b 2 R p Z m l j Y X R v I H R p c G 8 u e 0 N v b G 9 u b m E x L D B 9 J n F 1 b 3 Q 7 L C Z x d W 9 0 O 1 N l Y 3 R p b 2 4 x L 1 R h Y m V s b G E x L 0 1 v Z G l m a W N h d G 8 g d G l w b y 5 7 Q 2 9 s b 2 5 u Y T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x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y O V Q x N T o z O T o z M i 4 5 M T M 3 N z A x W i I g L z 4 8 R W 5 0 c n k g V H l w Z T 0 i R m l s b E N v b H V t b l R 5 c G V z I i B W Y W x 1 Z T 0 i c 0 F 3 T U Q i I C 8 + P E V u d H J 5 I F R 5 c G U 9 I k Z p b G x D b 2 x 1 b W 5 O Y W 1 l c y I g V m F s d W U 9 I n N b J n F 1 b 3 Q 7 Q 2 9 s b 2 5 u Y T E m c X V v d D s s J n F 1 b 3 Q 7 Q 2 9 s b 2 5 u Y T I m c X V v d D s s J n F 1 b 3 Q 7 Q 2 9 s b 2 5 u Y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i 9 N b 2 R p Z m l j Y X R v I H R p c G 8 u e 0 N v b G 9 u b m E x L D B 9 J n F 1 b 3 Q 7 L C Z x d W 9 0 O 1 N l Y 3 R p b 2 4 x L 1 R h Y m V s b G E y L 0 1 v Z G l m a W N h d G 8 g d G l w b y 5 7 Q 2 9 s b 2 5 u Y T I s M X 0 m c X V v d D s s J n F 1 b 3 Q 7 U 2 V j d G l v b j E v V G F i Z W x s Y T I v T W 9 k a W Z p Y 2 F 0 b y B 0 a X B v L n t D b 2 x v b m 5 h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h M i 9 N b 2 R p Z m l j Y X R v I H R p c G 8 u e 0 N v b G 9 u b m E x L D B 9 J n F 1 b 3 Q 7 L C Z x d W 9 0 O 1 N l Y 3 R p b 2 4 x L 1 R h Y m V s b G E y L 0 1 v Z G l m a W N h d G 8 g d G l w b y 5 7 Q 2 9 s b 2 5 u Y T I s M X 0 m c X V v d D s s J n F 1 b 3 Q 7 U 2 V j d G l v b j E v V G F i Z W x s Y T I v T W 9 k a W Z p Y 2 F 0 b y B 0 a X B v L n t D b 2 x v b m 5 h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I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y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/ g e g v 7 1 R C r i B s I q Y d s m A A A A A A A g A A A A A A A 2 Y A A M A A A A A Q A A A A d D f l g 8 C Y H Q O s I S 7 q w B h J g g A A A A A E g A A A o A A A A B A A A A A b t d w h A n k 9 7 2 0 g L o q U X F a k U A A A A G / o U M w L X m i 4 E u 8 / x t b v 7 J u Z D k k S B f 4 8 v 1 d h c V c g s 4 S J z v z G t N T Q i R j T k E 1 M p z Q m R 6 x O R r Z 2 x T J d h z T 5 H B B a s Q K 4 I x 9 7 p S F A 7 k Y O K 6 v m I U o T F A A A A L A 6 i O s p f H B 0 + B o l 7 V i i p 7 d w a J d g < / D a t a M a s h u p > 
</file>

<file path=customXml/itemProps1.xml><?xml version="1.0" encoding="utf-8"?>
<ds:datastoreItem xmlns:ds="http://schemas.openxmlformats.org/officeDocument/2006/customXml" ds:itemID="{04E104D6-2F8E-451D-9AFF-9D70F3BB75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46</vt:i4>
      </vt:variant>
    </vt:vector>
  </HeadingPairs>
  <TitlesOfParts>
    <vt:vector size="47" baseType="lpstr">
      <vt:lpstr>MODULO</vt:lpstr>
      <vt:lpstr>A_ROTELLA</vt:lpstr>
      <vt:lpstr>A_ROTELLA_GRIGIA</vt:lpstr>
      <vt:lpstr>ALTRO</vt:lpstr>
      <vt:lpstr>'CARTELLINO 10righe'!Area_stampa</vt:lpstr>
      <vt:lpstr>'CARTELLINO 4righe'!Area_stampa</vt:lpstr>
      <vt:lpstr>DATI!Area_stampa</vt:lpstr>
      <vt:lpstr>MODULO!Area_stampa</vt:lpstr>
      <vt:lpstr>BIANCO</vt:lpstr>
      <vt:lpstr>BLUM</vt:lpstr>
      <vt:lpstr>BLUM____________________________________________________DEL_CLIENTE</vt:lpstr>
      <vt:lpstr>DARE_GUIDE</vt:lpstr>
      <vt:lpstr>FAGGIO_LUCIDO</vt:lpstr>
      <vt:lpstr>FRASSINO_SBIANCATO_BORDATO</vt:lpstr>
      <vt:lpstr>GRASS</vt:lpstr>
      <vt:lpstr>HETTICH_ACTRO_YOU</vt:lpstr>
      <vt:lpstr>HETTICH_ACTRO_YOU___________________________DEL_CLIENTE</vt:lpstr>
      <vt:lpstr>HETTICH_QUADRO</vt:lpstr>
      <vt:lpstr>HETTICH_QUADRO________________________________DEL_CLIENTE</vt:lpstr>
      <vt:lpstr>HETTICH_QUADRO_4D</vt:lpstr>
      <vt:lpstr>LAMINATO_BIANCO</vt:lpstr>
      <vt:lpstr>MATERIALE</vt:lpstr>
      <vt:lpstr>MULTISTRATO</vt:lpstr>
      <vt:lpstr>NERO</vt:lpstr>
      <vt:lpstr>NO</vt:lpstr>
      <vt:lpstr>NOBILITATO</vt:lpstr>
      <vt:lpstr>PELLE_ANTRACITE</vt:lpstr>
      <vt:lpstr>ROVERE_GREZZO</vt:lpstr>
      <vt:lpstr>ROVERE_VERNICIATO</vt:lpstr>
      <vt:lpstr>SALICE</vt:lpstr>
      <vt:lpstr>SBIANCATO_BORDATO</vt:lpstr>
      <vt:lpstr>SBIANCATO_NO_BORDO</vt:lpstr>
      <vt:lpstr>SEMPL.</vt:lpstr>
      <vt:lpstr>SEMPL._C._SS</vt:lpstr>
      <vt:lpstr>SI</vt:lpstr>
      <vt:lpstr>TESSUTO_ANTRACITE</vt:lpstr>
      <vt:lpstr>TESSUTO_TORTORA</vt:lpstr>
      <vt:lpstr>TOT._AMM.</vt:lpstr>
      <vt:lpstr>TOT._AMM._5_REG.</vt:lpstr>
      <vt:lpstr>TOT._AMM._5_REG._PUSH</vt:lpstr>
      <vt:lpstr>TOT._AMM._PUSH</vt:lpstr>
      <vt:lpstr>TOT._C._PUSH_4D</vt:lpstr>
      <vt:lpstr>TOT._C._SS</vt:lpstr>
      <vt:lpstr>TOT._C._SS_4D</vt:lpstr>
      <vt:lpstr>TOT._C._SS_ACTRO</vt:lpstr>
      <vt:lpstr>TOT._C._SS_PUSH_ACTRO</vt:lpstr>
      <vt:lpstr>TOT._PUSH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Rho</dc:creator>
  <cp:lastModifiedBy>Enrico Rho</cp:lastModifiedBy>
  <cp:lastPrinted>2025-02-18T16:25:51Z</cp:lastPrinted>
  <dcterms:created xsi:type="dcterms:W3CDTF">2002-04-04T12:36:10Z</dcterms:created>
  <dcterms:modified xsi:type="dcterms:W3CDTF">2026-05-14T11:28:57Z</dcterms:modified>
</cp:coreProperties>
</file>