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T:\MODULI EXCEL per CLIENTI\"/>
    </mc:Choice>
  </mc:AlternateContent>
  <xr:revisionPtr revIDLastSave="0" documentId="13_ncr:1_{B05F576B-F411-47A4-B198-61D0D7639B58}" xr6:coauthVersionLast="47" xr6:coauthVersionMax="47" xr10:uidLastSave="{00000000-0000-0000-0000-000000000000}"/>
  <workbookProtection workbookAlgorithmName="SHA-512" workbookHashValue="DghM2iXT714relZ5I4L/rSkpi3pomNKp52C9ZTkiFR+TYhWcouXjkY4aVz5uMiyFIRPyCHU42M5FJgSRkXhU9w==" workbookSaltValue="B6nobwJZQCMWvcMp7AOeAg==" workbookSpinCount="100000" lockStructure="1"/>
  <bookViews>
    <workbookView xWindow="28692" yWindow="-3600" windowWidth="29016" windowHeight="16416" xr2:uid="{00000000-000D-0000-FFFF-FFFF00000000}"/>
  </bookViews>
  <sheets>
    <sheet name="MODULO" sheetId="15" r:id="rId1"/>
    <sheet name="KENDO CAVO" sheetId="10" state="veryHidden" r:id="rId2"/>
    <sheet name="IMMAGINI" sheetId="16" state="veryHidden" r:id="rId3"/>
    <sheet name="DATI" sheetId="14" state="veryHidden" r:id="rId4"/>
  </sheets>
  <definedNames>
    <definedName name="_ACC1">INDEX(IMMAGINI!$D$15:$D$18,MATCH(MODULO!$J$10,IMMAGINI!$B$15:$B$18,0))</definedName>
    <definedName name="_ACC2">INDEX(IMMAGINI!$D$15:$D$18,MATCH(MODULO!$Q$10,IMMAGINI!$B$15:$B$18,0))</definedName>
    <definedName name="_ACC3">INDEX(IMMAGINI!$D$15:$D$18,MATCH(MODULO!$X$10,IMMAGINI!$B$15:$B$18,0))</definedName>
    <definedName name="_ACC4">INDEX(IMMAGINI!$D$15:$D$18,MATCH(MODULO!$AE$10,IMMAGINI!$B$15:$B$18,0))</definedName>
    <definedName name="_ACC5">INDEX(IMMAGINI!$D$15:$D$18,MATCH(MODULO!$AL$10,IMMAGINI!$B$15:$B$18,0))</definedName>
    <definedName name="_ACCENSIONEintegrata1" localSheetId="2">INDEX(IMMAGINI!$D$15:$D$18,MATCH(MODULO!$J$10,IMMAGINI!$B$15:$B$18,0))</definedName>
    <definedName name="_ACCESSORI1">INDEX(IMMAGINI!$C$1:$C$14,MATCH(MODULO!$E$26,IMMAGINI!$B$1:$B$14,0))</definedName>
    <definedName name="_ACCESSORI2">INDEX(IMMAGINI!$C$1:$C$14,MATCH(MODULO!$T$26,IMMAGINI!$B$1:$B$14,0))</definedName>
    <definedName name="_ACCESSORI3">INDEX(IMMAGINI!$C$1:$C$14,MATCH(MODULO!$AJ$26,IMMAGINI!$B$1:$B$14,0))</definedName>
    <definedName name="_xlnm.Print_Area" localSheetId="1">'KENDO CAVO'!$A$1:$N$32</definedName>
    <definedName name="_xlnm.Print_Area" localSheetId="0">MODULO!$B$2:$AU$99</definedName>
    <definedName name="INCASSO_DRITTA_LINIE">DATI!$AH$110</definedName>
    <definedName name="INCASSO_DRITTA_MEC_2">DATI!$AE$110:$AE$113</definedName>
    <definedName name="INCASSO_INCLINATA_MEC_4">DATI!$AG$110:$AG$113</definedName>
    <definedName name="INCASSO_INCLINATA_RIFT">DATI!$AK$110</definedName>
    <definedName name="JL_COB_esterna">DATI!$AI$110:$AI$111</definedName>
    <definedName name="JL_COB_incasso">DATI!$AJ$110:$AJ$111</definedName>
    <definedName name="LAMPADE">DATI!$AC$110:$AC$117</definedName>
    <definedName name="LAMPADEtipologia">INDEX(IMMAGINI!$L$1:$L$11,MATCH(MODULO!$Q$4,IMMAGINI!$K$1:$K$11,0))</definedName>
    <definedName name="SPORGENTE_DRITTA_MEC_1_profilo_GRIGIO">DATI!$AD$110:$AD$113</definedName>
    <definedName name="SPORGENTE_DRITTA_MEC_1_profilo_NERO">DATI!$AD$110:$AD$113</definedName>
    <definedName name="SPORGENTE_INCLINATA_MEC_3_profilo_GRIGIO">DATI!$AF$110:$AF$113</definedName>
    <definedName name="SPORGENTE_INCLINATA_MEC_3_profilo_NERO">DATI!$AF$110:$AF$113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5" l="1"/>
  <c r="AN14" i="15"/>
  <c r="AG14" i="15"/>
  <c r="Z14" i="15"/>
  <c r="B24" i="15"/>
  <c r="A173" i="14"/>
  <c r="AL13" i="15" l="1"/>
  <c r="AE13" i="15"/>
  <c r="X13" i="15"/>
  <c r="Q13" i="15"/>
  <c r="AL12" i="15"/>
  <c r="AE12" i="15"/>
  <c r="X12" i="15"/>
  <c r="Q12" i="15"/>
  <c r="E168" i="14"/>
  <c r="B96" i="15"/>
  <c r="B95" i="15"/>
  <c r="B94" i="15"/>
  <c r="J13" i="15" l="1"/>
  <c r="J12" i="15"/>
  <c r="U60" i="15"/>
  <c r="D60" i="15"/>
  <c r="BK5" i="15"/>
  <c r="B20" i="15" l="1"/>
  <c r="C89" i="15" s="1"/>
  <c r="B22" i="15"/>
  <c r="C90" i="15" s="1"/>
  <c r="B125" i="15"/>
  <c r="B124" i="15"/>
  <c r="B123" i="15"/>
  <c r="A123" i="15" l="1"/>
  <c r="E55" i="15" s="1"/>
  <c r="R55" i="15" l="1"/>
  <c r="F55" i="15"/>
  <c r="B98" i="15" s="1"/>
  <c r="V55" i="15"/>
  <c r="X55" i="15"/>
  <c r="B55" i="15"/>
  <c r="N105" i="14"/>
  <c r="O96" i="14"/>
  <c r="Q15" i="15"/>
  <c r="B97" i="15" l="1"/>
  <c r="H97" i="15"/>
  <c r="J97" i="15" s="1"/>
  <c r="H98" i="15"/>
  <c r="J98" i="15"/>
  <c r="AL15" i="15"/>
  <c r="AE15" i="15"/>
  <c r="X15" i="15"/>
  <c r="J15" i="15"/>
  <c r="O97" i="14"/>
  <c r="M97" i="14"/>
  <c r="K97" i="14"/>
  <c r="I97" i="14"/>
  <c r="G97" i="14"/>
  <c r="E97" i="14"/>
  <c r="M127" i="14"/>
  <c r="K127" i="14"/>
  <c r="I127" i="14"/>
  <c r="G127" i="14"/>
  <c r="E127" i="14"/>
  <c r="L147" i="14"/>
  <c r="L145" i="14"/>
  <c r="J147" i="14"/>
  <c r="J145" i="14"/>
  <c r="H147" i="14"/>
  <c r="H145" i="14"/>
  <c r="F147" i="14"/>
  <c r="F145" i="14"/>
  <c r="D147" i="14"/>
  <c r="D145" i="14"/>
  <c r="O146" i="14"/>
  <c r="L13" i="14"/>
  <c r="L12" i="14"/>
  <c r="L11" i="14"/>
  <c r="L9" i="14"/>
  <c r="L36" i="14"/>
  <c r="L35" i="14"/>
  <c r="L34" i="14"/>
  <c r="L32" i="14"/>
  <c r="L59" i="14"/>
  <c r="L58" i="14"/>
  <c r="L57" i="14"/>
  <c r="L55" i="14"/>
  <c r="L82" i="14"/>
  <c r="L81" i="14"/>
  <c r="L80" i="14"/>
  <c r="L78" i="14"/>
  <c r="L129" i="14"/>
  <c r="M129" i="14" s="1"/>
  <c r="L131" i="14"/>
  <c r="M131" i="14" s="1"/>
  <c r="J131" i="14"/>
  <c r="K131" i="14" s="1"/>
  <c r="J129" i="14"/>
  <c r="K129" i="14" s="1"/>
  <c r="H131" i="14"/>
  <c r="I131" i="14" s="1"/>
  <c r="H129" i="14"/>
  <c r="I129" i="14" s="1"/>
  <c r="F131" i="14"/>
  <c r="G131" i="14" s="1"/>
  <c r="F129" i="14"/>
  <c r="G129" i="14" s="1"/>
  <c r="D131" i="14"/>
  <c r="E131" i="14" s="1"/>
  <c r="D129" i="14"/>
  <c r="E129" i="14" s="1"/>
  <c r="O129" i="14"/>
  <c r="O130" i="14"/>
  <c r="O131" i="14"/>
  <c r="J90" i="15" l="1"/>
  <c r="J89" i="15"/>
  <c r="N6" i="16"/>
  <c r="J94" i="15" l="1"/>
  <c r="J96" i="15"/>
  <c r="J95" i="15"/>
  <c r="O151" i="14"/>
  <c r="M151" i="14"/>
  <c r="K151" i="14"/>
  <c r="I151" i="14"/>
  <c r="G151" i="14"/>
  <c r="E151" i="14"/>
  <c r="O147" i="14"/>
  <c r="M147" i="14"/>
  <c r="K147" i="14"/>
  <c r="I147" i="14"/>
  <c r="G147" i="14"/>
  <c r="E147" i="14"/>
  <c r="O145" i="14"/>
  <c r="M145" i="14"/>
  <c r="K145" i="14"/>
  <c r="I145" i="14"/>
  <c r="G145" i="14"/>
  <c r="E145" i="14"/>
  <c r="O143" i="14"/>
  <c r="O142" i="14"/>
  <c r="M142" i="14"/>
  <c r="K142" i="14"/>
  <c r="I142" i="14"/>
  <c r="G142" i="14"/>
  <c r="E142" i="14"/>
  <c r="M140" i="14"/>
  <c r="M143" i="14" s="1"/>
  <c r="L140" i="14"/>
  <c r="K140" i="14"/>
  <c r="K143" i="14" s="1"/>
  <c r="J140" i="14"/>
  <c r="I140" i="14"/>
  <c r="I143" i="14" s="1"/>
  <c r="H140" i="14"/>
  <c r="G140" i="14"/>
  <c r="G143" i="14" s="1"/>
  <c r="F140" i="14"/>
  <c r="E140" i="14"/>
  <c r="E143" i="14" s="1"/>
  <c r="D140" i="14"/>
  <c r="O135" i="14"/>
  <c r="O125" i="14"/>
  <c r="M125" i="14"/>
  <c r="K125" i="14"/>
  <c r="I125" i="14"/>
  <c r="G125" i="14"/>
  <c r="E125" i="14"/>
  <c r="O111" i="14"/>
  <c r="M111" i="14"/>
  <c r="K111" i="14"/>
  <c r="I111" i="14"/>
  <c r="G111" i="14"/>
  <c r="E111" i="14"/>
  <c r="O126" i="14"/>
  <c r="O112" i="14"/>
  <c r="M123" i="14"/>
  <c r="M135" i="14" s="1"/>
  <c r="L123" i="14"/>
  <c r="K123" i="14"/>
  <c r="J123" i="14"/>
  <c r="I123" i="14"/>
  <c r="H123" i="14"/>
  <c r="G123" i="14"/>
  <c r="G126" i="14" s="1"/>
  <c r="F123" i="14"/>
  <c r="E123" i="14"/>
  <c r="E135" i="14" s="1"/>
  <c r="D123" i="14"/>
  <c r="B9" i="15"/>
  <c r="M126" i="14" l="1"/>
  <c r="G135" i="14"/>
  <c r="O134" i="14"/>
  <c r="K135" i="14"/>
  <c r="K126" i="14"/>
  <c r="I126" i="14"/>
  <c r="I135" i="14"/>
  <c r="O150" i="14"/>
  <c r="E126" i="14"/>
  <c r="Z115" i="14"/>
  <c r="Y115" i="14"/>
  <c r="X115" i="14"/>
  <c r="W115" i="14"/>
  <c r="V115" i="14"/>
  <c r="S171" i="14"/>
  <c r="S170" i="14"/>
  <c r="C86" i="15"/>
  <c r="D85" i="15"/>
  <c r="D84" i="15"/>
  <c r="D79" i="15"/>
  <c r="C81" i="15"/>
  <c r="D80" i="15"/>
  <c r="C76" i="15"/>
  <c r="D75" i="15"/>
  <c r="D74" i="15"/>
  <c r="C71" i="15"/>
  <c r="D70" i="15"/>
  <c r="D69" i="15"/>
  <c r="N117" i="14"/>
  <c r="D83" i="15"/>
  <c r="D78" i="15"/>
  <c r="D73" i="15"/>
  <c r="D68" i="15"/>
  <c r="AD158" i="14"/>
  <c r="AD157" i="14" s="1"/>
  <c r="Z114" i="14" l="1"/>
  <c r="Z113" i="14"/>
  <c r="Z112" i="14"/>
  <c r="Y114" i="14"/>
  <c r="Y113" i="14"/>
  <c r="Y112" i="14"/>
  <c r="X114" i="14"/>
  <c r="X113" i="14"/>
  <c r="X112" i="14"/>
  <c r="W114" i="14"/>
  <c r="W113" i="14"/>
  <c r="W112" i="14"/>
  <c r="S14" i="15" s="1"/>
  <c r="V114" i="14"/>
  <c r="V113" i="14"/>
  <c r="V112" i="14"/>
  <c r="L14" i="15" s="1"/>
  <c r="M76" i="14"/>
  <c r="M53" i="14"/>
  <c r="M7" i="14"/>
  <c r="K76" i="14"/>
  <c r="K53" i="14"/>
  <c r="K7" i="14"/>
  <c r="I76" i="14"/>
  <c r="I53" i="14"/>
  <c r="I7" i="14"/>
  <c r="G76" i="14"/>
  <c r="G53" i="14"/>
  <c r="G7" i="14"/>
  <c r="E76" i="14"/>
  <c r="E53" i="14"/>
  <c r="E7" i="14"/>
  <c r="D146" i="14" l="1"/>
  <c r="E146" i="14" s="1"/>
  <c r="E150" i="14" s="1"/>
  <c r="H96" i="15"/>
  <c r="H95" i="15"/>
  <c r="H94" i="15"/>
  <c r="H91" i="15"/>
  <c r="H90" i="15"/>
  <c r="H89" i="15"/>
  <c r="C88" i="15"/>
  <c r="J82" i="14"/>
  <c r="J81" i="14"/>
  <c r="J80" i="14"/>
  <c r="J59" i="14"/>
  <c r="J58" i="14"/>
  <c r="J57" i="14"/>
  <c r="J36" i="14"/>
  <c r="J35" i="14"/>
  <c r="J34" i="14"/>
  <c r="J78" i="14"/>
  <c r="J55" i="14"/>
  <c r="J32" i="14"/>
  <c r="H82" i="14"/>
  <c r="H81" i="14"/>
  <c r="H80" i="14"/>
  <c r="H59" i="14"/>
  <c r="H58" i="14"/>
  <c r="H57" i="14"/>
  <c r="H36" i="14"/>
  <c r="H35" i="14"/>
  <c r="H34" i="14"/>
  <c r="H78" i="14"/>
  <c r="H55" i="14"/>
  <c r="H32" i="14"/>
  <c r="F82" i="14"/>
  <c r="F81" i="14"/>
  <c r="F80" i="14"/>
  <c r="F59" i="14"/>
  <c r="F58" i="14"/>
  <c r="F57" i="14"/>
  <c r="F36" i="14"/>
  <c r="F35" i="14"/>
  <c r="F34" i="14"/>
  <c r="F78" i="14"/>
  <c r="F55" i="14"/>
  <c r="F32" i="14"/>
  <c r="D78" i="14"/>
  <c r="D55" i="14"/>
  <c r="D32" i="14"/>
  <c r="D82" i="14"/>
  <c r="D81" i="14"/>
  <c r="D80" i="14"/>
  <c r="D59" i="14"/>
  <c r="D58" i="14"/>
  <c r="D57" i="14"/>
  <c r="D36" i="14"/>
  <c r="D35" i="14"/>
  <c r="D34" i="14"/>
  <c r="D11" i="14"/>
  <c r="AO15" i="15"/>
  <c r="AH15" i="15"/>
  <c r="AA15" i="15"/>
  <c r="F130" i="14" l="1"/>
  <c r="G130" i="14" s="1"/>
  <c r="G134" i="14" s="1"/>
  <c r="F146" i="14"/>
  <c r="G146" i="14" s="1"/>
  <c r="G150" i="14" s="1"/>
  <c r="H146" i="14"/>
  <c r="I146" i="14" s="1"/>
  <c r="I150" i="14" s="1"/>
  <c r="H130" i="14"/>
  <c r="I130" i="14" s="1"/>
  <c r="I134" i="14" s="1"/>
  <c r="J146" i="14"/>
  <c r="K146" i="14" s="1"/>
  <c r="K150" i="14" s="1"/>
  <c r="J130" i="14"/>
  <c r="K130" i="14" s="1"/>
  <c r="K134" i="14" s="1"/>
  <c r="L146" i="14"/>
  <c r="M146" i="14" s="1"/>
  <c r="M150" i="14" s="1"/>
  <c r="L130" i="14"/>
  <c r="M130" i="14" s="1"/>
  <c r="M134" i="14" s="1"/>
  <c r="D130" i="14"/>
  <c r="E130" i="14" s="1"/>
  <c r="E134" i="14" s="1"/>
  <c r="F56" i="14"/>
  <c r="H79" i="14"/>
  <c r="J56" i="14"/>
  <c r="S168" i="14"/>
  <c r="G83" i="15"/>
  <c r="G78" i="15"/>
  <c r="G73" i="15"/>
  <c r="G63" i="15"/>
  <c r="G68" i="15"/>
  <c r="C66" i="15"/>
  <c r="D65" i="15"/>
  <c r="D64" i="15"/>
  <c r="D63" i="15"/>
  <c r="E61" i="15"/>
  <c r="B61" i="15"/>
  <c r="G59" i="15"/>
  <c r="J13" i="14"/>
  <c r="J12" i="14"/>
  <c r="J11" i="14"/>
  <c r="J9" i="14"/>
  <c r="H13" i="14"/>
  <c r="H12" i="14"/>
  <c r="H11" i="14"/>
  <c r="H9" i="14"/>
  <c r="F13" i="14"/>
  <c r="F12" i="14"/>
  <c r="F11" i="14"/>
  <c r="F9" i="14"/>
  <c r="D13" i="14"/>
  <c r="D12" i="14"/>
  <c r="D9" i="14"/>
  <c r="M109" i="14"/>
  <c r="L109" i="14"/>
  <c r="K109" i="14"/>
  <c r="J109" i="14"/>
  <c r="I109" i="14"/>
  <c r="H109" i="14"/>
  <c r="G109" i="14"/>
  <c r="F109" i="14"/>
  <c r="E109" i="14"/>
  <c r="D109" i="14"/>
  <c r="M93" i="14"/>
  <c r="L93" i="14"/>
  <c r="K93" i="14"/>
  <c r="J93" i="14"/>
  <c r="I93" i="14"/>
  <c r="H93" i="14"/>
  <c r="G93" i="14"/>
  <c r="F93" i="14"/>
  <c r="E93" i="14"/>
  <c r="E96" i="14" s="1"/>
  <c r="D93" i="14"/>
  <c r="M71" i="14"/>
  <c r="L71" i="14"/>
  <c r="L79" i="14" s="1"/>
  <c r="K71" i="14"/>
  <c r="J71" i="14"/>
  <c r="J79" i="14" s="1"/>
  <c r="I71" i="14"/>
  <c r="H71" i="14"/>
  <c r="G71" i="14"/>
  <c r="F71" i="14"/>
  <c r="F79" i="14" s="1"/>
  <c r="E71" i="14"/>
  <c r="D71" i="14"/>
  <c r="M48" i="14"/>
  <c r="L48" i="14"/>
  <c r="L56" i="14" s="1"/>
  <c r="K48" i="14"/>
  <c r="J48" i="14"/>
  <c r="I48" i="14"/>
  <c r="H48" i="14"/>
  <c r="H56" i="14" s="1"/>
  <c r="G48" i="14"/>
  <c r="F48" i="14"/>
  <c r="E48" i="14"/>
  <c r="D48" i="14"/>
  <c r="M25" i="14"/>
  <c r="L25" i="14"/>
  <c r="L33" i="14" s="1"/>
  <c r="K25" i="14"/>
  <c r="J25" i="14"/>
  <c r="J33" i="14" s="1"/>
  <c r="I25" i="14"/>
  <c r="H25" i="14"/>
  <c r="H33" i="14" s="1"/>
  <c r="G25" i="14"/>
  <c r="F25" i="14"/>
  <c r="F33" i="14" s="1"/>
  <c r="E25" i="14"/>
  <c r="D25" i="14"/>
  <c r="L2" i="14"/>
  <c r="L10" i="14" s="1"/>
  <c r="J2" i="14"/>
  <c r="J10" i="14" s="1"/>
  <c r="H2" i="14"/>
  <c r="H10" i="14" s="1"/>
  <c r="F2" i="14"/>
  <c r="F10" i="14" s="1"/>
  <c r="D2" i="14"/>
  <c r="M2" i="14"/>
  <c r="K2" i="14"/>
  <c r="I2" i="14"/>
  <c r="G2" i="14"/>
  <c r="E2" i="14"/>
  <c r="AE26" i="15"/>
  <c r="AT26" i="15"/>
  <c r="K96" i="14" l="1"/>
  <c r="J105" i="14"/>
  <c r="M96" i="14"/>
  <c r="L105" i="14"/>
  <c r="G96" i="14"/>
  <c r="F105" i="14"/>
  <c r="I96" i="14"/>
  <c r="H105" i="14"/>
  <c r="D105" i="14"/>
  <c r="L117" i="14"/>
  <c r="M112" i="14"/>
  <c r="J117" i="14"/>
  <c r="K112" i="14"/>
  <c r="H117" i="14"/>
  <c r="I112" i="14"/>
  <c r="F117" i="14"/>
  <c r="G112" i="14"/>
  <c r="D117" i="14"/>
  <c r="E112" i="14"/>
  <c r="C91" i="15"/>
  <c r="J91" i="15" s="1"/>
  <c r="M15" i="15"/>
  <c r="B93" i="15" l="1"/>
  <c r="E166" i="14"/>
  <c r="O118" i="14"/>
  <c r="M118" i="14"/>
  <c r="O113" i="14"/>
  <c r="M113" i="14"/>
  <c r="M117" i="14" s="1"/>
  <c r="O106" i="14"/>
  <c r="M106" i="14"/>
  <c r="O95" i="14"/>
  <c r="O105" i="14" s="1"/>
  <c r="M95" i="14"/>
  <c r="M105" i="14" s="1"/>
  <c r="O90" i="14"/>
  <c r="M90" i="14"/>
  <c r="O88" i="14"/>
  <c r="M88" i="14"/>
  <c r="O86" i="14"/>
  <c r="M86" i="14"/>
  <c r="O82" i="14"/>
  <c r="M82" i="14"/>
  <c r="O81" i="14"/>
  <c r="M81" i="14"/>
  <c r="O80" i="14"/>
  <c r="M80" i="14"/>
  <c r="O79" i="14"/>
  <c r="O78" i="14"/>
  <c r="M78" i="14"/>
  <c r="O76" i="14"/>
  <c r="O75" i="14"/>
  <c r="M75" i="14"/>
  <c r="O74" i="14"/>
  <c r="M74" i="14"/>
  <c r="O73" i="14"/>
  <c r="M73" i="14"/>
  <c r="O67" i="14"/>
  <c r="M67" i="14"/>
  <c r="O65" i="14"/>
  <c r="M65" i="14"/>
  <c r="O63" i="14"/>
  <c r="M63" i="14"/>
  <c r="O59" i="14"/>
  <c r="M59" i="14"/>
  <c r="O58" i="14"/>
  <c r="M58" i="14"/>
  <c r="O57" i="14"/>
  <c r="M57" i="14"/>
  <c r="O56" i="14"/>
  <c r="O55" i="14"/>
  <c r="M55" i="14"/>
  <c r="O53" i="14"/>
  <c r="O52" i="14"/>
  <c r="M52" i="14"/>
  <c r="O51" i="14"/>
  <c r="M51" i="14"/>
  <c r="O50" i="14"/>
  <c r="M50" i="14"/>
  <c r="O44" i="14"/>
  <c r="M44" i="14"/>
  <c r="O42" i="14"/>
  <c r="M42" i="14"/>
  <c r="O40" i="14"/>
  <c r="M40" i="14"/>
  <c r="O36" i="14"/>
  <c r="M36" i="14"/>
  <c r="O35" i="14"/>
  <c r="M35" i="14"/>
  <c r="O34" i="14"/>
  <c r="M34" i="14"/>
  <c r="O33" i="14"/>
  <c r="O32" i="14"/>
  <c r="M32" i="14"/>
  <c r="O30" i="14"/>
  <c r="M30" i="14"/>
  <c r="O29" i="14"/>
  <c r="M29" i="14"/>
  <c r="O28" i="14"/>
  <c r="M28" i="14"/>
  <c r="O21" i="14"/>
  <c r="M21" i="14"/>
  <c r="O19" i="14"/>
  <c r="M19" i="14"/>
  <c r="O17" i="14"/>
  <c r="M17" i="14"/>
  <c r="O13" i="14"/>
  <c r="M13" i="14"/>
  <c r="O12" i="14"/>
  <c r="M12" i="14"/>
  <c r="O11" i="14"/>
  <c r="M11" i="14"/>
  <c r="O10" i="14"/>
  <c r="M10" i="14"/>
  <c r="O9" i="14"/>
  <c r="M9" i="14"/>
  <c r="O7" i="14"/>
  <c r="O6" i="14"/>
  <c r="M6" i="14"/>
  <c r="O5" i="14"/>
  <c r="M5" i="14"/>
  <c r="O4" i="14"/>
  <c r="M4" i="14"/>
  <c r="I118" i="14"/>
  <c r="I113" i="14"/>
  <c r="I117" i="14" s="1"/>
  <c r="I106" i="14"/>
  <c r="I95" i="14"/>
  <c r="I105" i="14" s="1"/>
  <c r="I90" i="14"/>
  <c r="I88" i="14"/>
  <c r="I86" i="14"/>
  <c r="I82" i="14"/>
  <c r="I81" i="14"/>
  <c r="I80" i="14"/>
  <c r="I78" i="14"/>
  <c r="I75" i="14"/>
  <c r="I74" i="14"/>
  <c r="I73" i="14"/>
  <c r="I67" i="14"/>
  <c r="I65" i="14"/>
  <c r="I63" i="14"/>
  <c r="I59" i="14"/>
  <c r="I58" i="14"/>
  <c r="I57" i="14"/>
  <c r="I55" i="14"/>
  <c r="I52" i="14"/>
  <c r="I51" i="14"/>
  <c r="I50" i="14"/>
  <c r="I44" i="14"/>
  <c r="I42" i="14"/>
  <c r="I40" i="14"/>
  <c r="I36" i="14"/>
  <c r="I35" i="14"/>
  <c r="I34" i="14"/>
  <c r="I32" i="14"/>
  <c r="I30" i="14"/>
  <c r="I29" i="14"/>
  <c r="I28" i="14"/>
  <c r="I21" i="14"/>
  <c r="I19" i="14"/>
  <c r="I17" i="14"/>
  <c r="I13" i="14"/>
  <c r="I12" i="14"/>
  <c r="I11" i="14"/>
  <c r="I10" i="14"/>
  <c r="I9" i="14"/>
  <c r="I6" i="14"/>
  <c r="I5" i="14"/>
  <c r="J93" i="15" l="1"/>
  <c r="H93" i="15"/>
  <c r="D79" i="14"/>
  <c r="E79" i="14" s="1"/>
  <c r="D10" i="14"/>
  <c r="D56" i="14"/>
  <c r="E56" i="14" s="1"/>
  <c r="D33" i="14"/>
  <c r="E33" i="14" s="1"/>
  <c r="I56" i="14"/>
  <c r="I66" i="14" s="1"/>
  <c r="G56" i="14"/>
  <c r="I79" i="14"/>
  <c r="I87" i="14" s="1"/>
  <c r="G33" i="14"/>
  <c r="K56" i="14"/>
  <c r="I33" i="14"/>
  <c r="I43" i="14" s="1"/>
  <c r="K79" i="14"/>
  <c r="M33" i="14"/>
  <c r="M43" i="14" s="1"/>
  <c r="M56" i="14"/>
  <c r="M66" i="14" s="1"/>
  <c r="K33" i="14"/>
  <c r="M79" i="14"/>
  <c r="M87" i="14" s="1"/>
  <c r="G79" i="14"/>
  <c r="M20" i="14"/>
  <c r="O16" i="14"/>
  <c r="O117" i="14"/>
  <c r="O64" i="14"/>
  <c r="O89" i="14"/>
  <c r="O20" i="14"/>
  <c r="O41" i="14"/>
  <c r="O62" i="14"/>
  <c r="O85" i="14"/>
  <c r="M16" i="14"/>
  <c r="O66" i="14"/>
  <c r="M18" i="14"/>
  <c r="O18" i="14"/>
  <c r="O39" i="14"/>
  <c r="O43" i="14"/>
  <c r="O87" i="14"/>
  <c r="E163" i="14"/>
  <c r="E160" i="14"/>
  <c r="E157" i="14"/>
  <c r="K118" i="14"/>
  <c r="G118" i="14"/>
  <c r="E118" i="14"/>
  <c r="K113" i="14"/>
  <c r="K117" i="14" s="1"/>
  <c r="G113" i="14"/>
  <c r="G117" i="14" s="1"/>
  <c r="E113" i="14"/>
  <c r="K106" i="14"/>
  <c r="G106" i="14"/>
  <c r="E106" i="14"/>
  <c r="K95" i="14"/>
  <c r="K105" i="14" s="1"/>
  <c r="G95" i="14"/>
  <c r="G105" i="14" s="1"/>
  <c r="E95" i="14"/>
  <c r="E105" i="14" s="1"/>
  <c r="K90" i="14"/>
  <c r="G90" i="14"/>
  <c r="E90" i="14"/>
  <c r="K88" i="14"/>
  <c r="G88" i="14"/>
  <c r="E88" i="14"/>
  <c r="K86" i="14"/>
  <c r="G86" i="14"/>
  <c r="E86" i="14"/>
  <c r="K82" i="14"/>
  <c r="G82" i="14"/>
  <c r="E82" i="14"/>
  <c r="K81" i="14"/>
  <c r="G81" i="14"/>
  <c r="E81" i="14"/>
  <c r="K80" i="14"/>
  <c r="G80" i="14"/>
  <c r="E80" i="14"/>
  <c r="K78" i="14"/>
  <c r="G78" i="14"/>
  <c r="E78" i="14"/>
  <c r="K75" i="14"/>
  <c r="G75" i="14"/>
  <c r="E75" i="14"/>
  <c r="K74" i="14"/>
  <c r="G74" i="14"/>
  <c r="E74" i="14"/>
  <c r="K73" i="14"/>
  <c r="G73" i="14"/>
  <c r="E73" i="14"/>
  <c r="K67" i="14"/>
  <c r="G67" i="14"/>
  <c r="E67" i="14"/>
  <c r="K65" i="14"/>
  <c r="G65" i="14"/>
  <c r="E65" i="14"/>
  <c r="K63" i="14"/>
  <c r="G63" i="14"/>
  <c r="E63" i="14"/>
  <c r="K59" i="14"/>
  <c r="G59" i="14"/>
  <c r="E59" i="14"/>
  <c r="K58" i="14"/>
  <c r="G58" i="14"/>
  <c r="E58" i="14"/>
  <c r="K57" i="14"/>
  <c r="G57" i="14"/>
  <c r="E57" i="14"/>
  <c r="K55" i="14"/>
  <c r="G55" i="14"/>
  <c r="E55" i="14"/>
  <c r="K52" i="14"/>
  <c r="G52" i="14"/>
  <c r="E52" i="14"/>
  <c r="K51" i="14"/>
  <c r="G51" i="14"/>
  <c r="E51" i="14"/>
  <c r="K50" i="14"/>
  <c r="G50" i="14"/>
  <c r="E50" i="14"/>
  <c r="K44" i="14"/>
  <c r="G44" i="14"/>
  <c r="E44" i="14"/>
  <c r="K42" i="14"/>
  <c r="G42" i="14"/>
  <c r="E42" i="14"/>
  <c r="K40" i="14"/>
  <c r="G40" i="14"/>
  <c r="E40" i="14"/>
  <c r="K36" i="14"/>
  <c r="G36" i="14"/>
  <c r="E36" i="14"/>
  <c r="K35" i="14"/>
  <c r="G35" i="14"/>
  <c r="E35" i="14"/>
  <c r="K34" i="14"/>
  <c r="G34" i="14"/>
  <c r="E34" i="14"/>
  <c r="K32" i="14"/>
  <c r="G32" i="14"/>
  <c r="E32" i="14"/>
  <c r="K30" i="14"/>
  <c r="G30" i="14"/>
  <c r="E30" i="14"/>
  <c r="K29" i="14"/>
  <c r="G29" i="14"/>
  <c r="E29" i="14"/>
  <c r="K28" i="14"/>
  <c r="G28" i="14"/>
  <c r="E28" i="14"/>
  <c r="K21" i="14"/>
  <c r="G21" i="14"/>
  <c r="E21" i="14"/>
  <c r="K19" i="14"/>
  <c r="G19" i="14"/>
  <c r="E19" i="14"/>
  <c r="K17" i="14"/>
  <c r="G17" i="14"/>
  <c r="E17" i="14"/>
  <c r="K13" i="14"/>
  <c r="G13" i="14"/>
  <c r="E13" i="14"/>
  <c r="K12" i="14"/>
  <c r="G12" i="14"/>
  <c r="E12" i="14"/>
  <c r="K11" i="14"/>
  <c r="G11" i="14"/>
  <c r="E11" i="14"/>
  <c r="K10" i="14"/>
  <c r="G10" i="14"/>
  <c r="K9" i="14"/>
  <c r="G9" i="14"/>
  <c r="E9" i="14"/>
  <c r="K6" i="14"/>
  <c r="G6" i="14"/>
  <c r="E6" i="14"/>
  <c r="K5" i="14"/>
  <c r="G5" i="14"/>
  <c r="E5" i="14"/>
  <c r="K4" i="14"/>
  <c r="I4" i="14"/>
  <c r="G4" i="14"/>
  <c r="E4" i="14"/>
  <c r="H83" i="15" l="1"/>
  <c r="E10" i="14"/>
  <c r="E16" i="14" s="1"/>
  <c r="I39" i="14"/>
  <c r="M89" i="14"/>
  <c r="M85" i="14"/>
  <c r="M39" i="14"/>
  <c r="M41" i="14"/>
  <c r="I41" i="14"/>
  <c r="I85" i="14"/>
  <c r="M62" i="14"/>
  <c r="M64" i="14"/>
  <c r="I89" i="14"/>
  <c r="I62" i="14"/>
  <c r="I64" i="14"/>
  <c r="E43" i="14"/>
  <c r="E117" i="14"/>
  <c r="G85" i="14"/>
  <c r="K43" i="14"/>
  <c r="G66" i="14"/>
  <c r="I16" i="14"/>
  <c r="I18" i="14"/>
  <c r="H73" i="15" s="1"/>
  <c r="I20" i="14"/>
  <c r="E66" i="14"/>
  <c r="K66" i="14"/>
  <c r="K20" i="14"/>
  <c r="E89" i="14"/>
  <c r="G20" i="14"/>
  <c r="K89" i="14"/>
  <c r="G43" i="14"/>
  <c r="E62" i="14"/>
  <c r="E39" i="14"/>
  <c r="E41" i="14"/>
  <c r="E85" i="14"/>
  <c r="E87" i="14"/>
  <c r="G18" i="14"/>
  <c r="G39" i="14"/>
  <c r="G87" i="14"/>
  <c r="G89" i="14"/>
  <c r="G41" i="14"/>
  <c r="K16" i="14"/>
  <c r="K18" i="14"/>
  <c r="H78" i="15" s="1"/>
  <c r="K39" i="14"/>
  <c r="K41" i="14"/>
  <c r="K85" i="14"/>
  <c r="K87" i="14"/>
  <c r="G16" i="14"/>
  <c r="E64" i="14"/>
  <c r="G62" i="14"/>
  <c r="G64" i="14"/>
  <c r="K62" i="14"/>
  <c r="K64" i="14"/>
  <c r="M20" i="10"/>
  <c r="M19" i="10"/>
  <c r="M14" i="10"/>
  <c r="M13" i="10"/>
  <c r="M8" i="10"/>
  <c r="M7" i="10"/>
  <c r="F20" i="10"/>
  <c r="F19" i="10"/>
  <c r="F14" i="10"/>
  <c r="F13" i="10"/>
  <c r="F8" i="10"/>
  <c r="F7" i="10"/>
  <c r="H68" i="15" l="1"/>
  <c r="E20" i="14"/>
  <c r="E18" i="14"/>
  <c r="T15" i="15"/>
  <c r="G16" i="15" s="1"/>
  <c r="H63" i="15" l="1"/>
</calcChain>
</file>

<file path=xl/sharedStrings.xml><?xml version="1.0" encoding="utf-8"?>
<sst xmlns="http://schemas.openxmlformats.org/spreadsheetml/2006/main" count="551" uniqueCount="187">
  <si>
    <t>QUANTITA</t>
  </si>
  <si>
    <t>TIPOLOGIA LUCE</t>
  </si>
  <si>
    <t>TIPOLOGIA ACCENSIONE</t>
  </si>
  <si>
    <t>LUNGHEZZA LAMPADA FINITA</t>
  </si>
  <si>
    <t>SI</t>
  </si>
  <si>
    <t>NO</t>
  </si>
  <si>
    <t>CAVO</t>
  </si>
  <si>
    <t>LUNGHEZZA SCHERMO</t>
  </si>
  <si>
    <t>LUNGHEZZA PROFILO</t>
  </si>
  <si>
    <t>(LAMPADA FINITA)</t>
  </si>
  <si>
    <t>SX</t>
  </si>
  <si>
    <t>DX</t>
  </si>
  <si>
    <t>24 VOLT</t>
  </si>
  <si>
    <t>LAMPADA INCASSO DRITTA KENDO CAVO</t>
  </si>
  <si>
    <t>MOLLE FISSAGGIO (6XMTL)</t>
  </si>
  <si>
    <t>ALIMENTAZIONE CON CAVO</t>
  </si>
  <si>
    <t>(-14)</t>
  </si>
  <si>
    <t>NOTE:</t>
  </si>
  <si>
    <t>CONSEGNA:</t>
  </si>
  <si>
    <t>A</t>
  </si>
  <si>
    <t>B</t>
  </si>
  <si>
    <t>C</t>
  </si>
  <si>
    <t>D</t>
  </si>
  <si>
    <t>E</t>
  </si>
  <si>
    <t>F</t>
  </si>
  <si>
    <t xml:space="preserve">A </t>
  </si>
  <si>
    <t xml:space="preserve">B </t>
  </si>
  <si>
    <t>ALIMENTATORE 90W</t>
  </si>
  <si>
    <t>CITTA' :</t>
  </si>
  <si>
    <t>DATA :</t>
  </si>
  <si>
    <t>ALIMENTATORE 18W</t>
  </si>
  <si>
    <t>ALIMENTATORE 48W</t>
  </si>
  <si>
    <t>MEC 1 (esterna)</t>
  </si>
  <si>
    <t>Misura lampada</t>
  </si>
  <si>
    <t>Montaggio</t>
  </si>
  <si>
    <t>Profilo</t>
  </si>
  <si>
    <t>Schermo</t>
  </si>
  <si>
    <t>Tappi</t>
  </si>
  <si>
    <t>Quantità:</t>
  </si>
  <si>
    <t>Cavo 3 mt</t>
  </si>
  <si>
    <t>Supporto (2x mt)</t>
  </si>
  <si>
    <t>Touch</t>
  </si>
  <si>
    <t>Touch IR</t>
  </si>
  <si>
    <t>COSTO TOTALE LAMPADA</t>
  </si>
  <si>
    <t>72 Led/metro</t>
  </si>
  <si>
    <t>Watt</t>
  </si>
  <si>
    <t>108 Led/metro</t>
  </si>
  <si>
    <t>156 Led/metro</t>
  </si>
  <si>
    <t>MEC 2 (incassata)</t>
  </si>
  <si>
    <r>
      <t>Supporto (1x mt</t>
    </r>
    <r>
      <rPr>
        <sz val="9"/>
        <color indexed="8"/>
        <rFont val="Calibri"/>
        <family val="2"/>
      </rPr>
      <t>-cf.3pz)</t>
    </r>
  </si>
  <si>
    <t>MEC 3 (inclinata)</t>
  </si>
  <si>
    <t>MEC 4 (incas. Incl.)</t>
  </si>
  <si>
    <t>Supporto (3x mt)</t>
  </si>
  <si>
    <t>LINIE (incassata)</t>
  </si>
  <si>
    <t>140 Led/metro</t>
  </si>
  <si>
    <t>DIMENSIONI</t>
  </si>
  <si>
    <t>ALIMENTATORE</t>
  </si>
  <si>
    <t>W</t>
  </si>
  <si>
    <t>V</t>
  </si>
  <si>
    <t>€</t>
  </si>
  <si>
    <t>€ totale</t>
  </si>
  <si>
    <t>L</t>
  </si>
  <si>
    <t>P</t>
  </si>
  <si>
    <t>H</t>
  </si>
  <si>
    <t>ALIDRIVER18</t>
  </si>
  <si>
    <t>ALIDRIVER48</t>
  </si>
  <si>
    <t>ALIDRIVER90</t>
  </si>
  <si>
    <t>LINIEAL36</t>
  </si>
  <si>
    <t>TOUCH AD INCASSO</t>
  </si>
  <si>
    <t>CODICE</t>
  </si>
  <si>
    <t>SENSORE IR ESTERNO</t>
  </si>
  <si>
    <t>SENSORE PIR INCASSO</t>
  </si>
  <si>
    <t>12</t>
  </si>
  <si>
    <t>MAX / W</t>
  </si>
  <si>
    <t>IRDOOR24</t>
  </si>
  <si>
    <t>LINIETDM</t>
  </si>
  <si>
    <t>LINIEDDS</t>
  </si>
  <si>
    <t>LINIESPS</t>
  </si>
  <si>
    <t>SENSORE IR DOOR</t>
  </si>
  <si>
    <t>MECDRIVERD24</t>
  </si>
  <si>
    <t>COMANDO VOICE</t>
  </si>
  <si>
    <t>SENSORE PIR ESTERNO</t>
  </si>
  <si>
    <t>SENSORE</t>
  </si>
  <si>
    <t>SU ORDINAZIONE</t>
  </si>
  <si>
    <t>TOUCH DIMMER ESTERNO</t>
  </si>
  <si>
    <t>TOUCH24</t>
  </si>
  <si>
    <t>TELECOMANDO RADIO SWITCH</t>
  </si>
  <si>
    <t>SWITCH</t>
  </si>
  <si>
    <t>RAGIONE SOCIALE :</t>
  </si>
  <si>
    <t>LAMPADA :</t>
  </si>
  <si>
    <t>QUANTITA' :</t>
  </si>
  <si>
    <t>TIPOLOGIA LUCE :</t>
  </si>
  <si>
    <t>TIPOLOGIA DI ACCENSIONE :</t>
  </si>
  <si>
    <t>LUNGHEZZA LAMPADA FINITA :</t>
  </si>
  <si>
    <t>LUNGHEZZA SCHERMO :</t>
  </si>
  <si>
    <t>LUNGHEZZA PROFILO :</t>
  </si>
  <si>
    <t>TOUCH INTEGRATO</t>
  </si>
  <si>
    <t>CALDA 3000 K°</t>
  </si>
  <si>
    <t>NEUTRA 4000 K°</t>
  </si>
  <si>
    <t>STAFFA DI FISSAGGIO :</t>
  </si>
  <si>
    <t>PIR INTEGRATO</t>
  </si>
  <si>
    <t>IR INTEGRATO</t>
  </si>
  <si>
    <t>18 W</t>
  </si>
  <si>
    <t>48 W</t>
  </si>
  <si>
    <t>90 W</t>
  </si>
  <si>
    <t>ACCESSORI :</t>
  </si>
  <si>
    <t>INCASSO DRITTA LINIE</t>
  </si>
  <si>
    <t xml:space="preserve">NOTE : </t>
  </si>
  <si>
    <r>
      <t xml:space="preserve">consumo WATT cad. e </t>
    </r>
    <r>
      <rPr>
        <sz val="10"/>
        <rFont val="Calibri"/>
        <family val="2"/>
        <scheme val="minor"/>
      </rPr>
      <t>TOTALE</t>
    </r>
    <r>
      <rPr>
        <sz val="10"/>
        <color rgb="FFFF0000"/>
        <rFont val="Calibri"/>
        <family val="2"/>
        <scheme val="minor"/>
      </rPr>
      <t xml:space="preserve"> :</t>
    </r>
  </si>
  <si>
    <t>N° pz</t>
  </si>
  <si>
    <t>PROLUNGA DA 3 metri</t>
  </si>
  <si>
    <t>ALIMENTATORI :</t>
  </si>
  <si>
    <t>WATTAGGIO tot.</t>
  </si>
  <si>
    <t>N°</t>
  </si>
  <si>
    <t>SENSORE IR DOPPIO DA INCASSO</t>
  </si>
  <si>
    <t>n°</t>
  </si>
  <si>
    <t>Sensore PIR</t>
  </si>
  <si>
    <t>SUPPORTI</t>
  </si>
  <si>
    <t>CON</t>
  </si>
  <si>
    <t xml:space="preserve">LUCE </t>
  </si>
  <si>
    <t>N° PZ</t>
  </si>
  <si>
    <t>€ cad.</t>
  </si>
  <si>
    <t xml:space="preserve">MISURA </t>
  </si>
  <si>
    <t>KENDOC</t>
  </si>
  <si>
    <t>MEC-1/3</t>
  </si>
  <si>
    <t>MEC-2</t>
  </si>
  <si>
    <t>MEC-4</t>
  </si>
  <si>
    <t>.</t>
  </si>
  <si>
    <t>LAMPADE</t>
  </si>
  <si>
    <t>SPORGENTE DRITTA MEC 1</t>
  </si>
  <si>
    <t>INCASSO DRITTA MEC 2</t>
  </si>
  <si>
    <t>SPORGENTE INCLINATA MEC 3</t>
  </si>
  <si>
    <t>INCASSO INCLINATA MEC 4</t>
  </si>
  <si>
    <t>RIFERIMENTO</t>
  </si>
  <si>
    <t>→</t>
  </si>
  <si>
    <t>prezzo con +20%</t>
  </si>
  <si>
    <t>MECREELCON100</t>
  </si>
  <si>
    <t>MECREELCON400</t>
  </si>
  <si>
    <t>MECREELCON700</t>
  </si>
  <si>
    <t>PREZZI PIENI</t>
  </si>
  <si>
    <t>Profilo e schermo</t>
  </si>
  <si>
    <t>384 Led/metro</t>
  </si>
  <si>
    <t>JL COB esterna</t>
  </si>
  <si>
    <t>JL COB incasso</t>
  </si>
  <si>
    <r>
      <t>IN CASO DI LAMPADE PARTICOLARI ALLEGARE DISEGNO (</t>
    </r>
    <r>
      <rPr>
        <b/>
        <i/>
        <sz val="8"/>
        <rFont val="Arial"/>
        <family val="2"/>
      </rPr>
      <t>scrivere in MM</t>
    </r>
    <r>
      <rPr>
        <i/>
        <sz val="8"/>
        <rFont val="Arial"/>
        <family val="2"/>
      </rPr>
      <t>)</t>
    </r>
  </si>
  <si>
    <t>SENSORE IR SINGOLO DA INCASSO</t>
  </si>
  <si>
    <t>SWITCH DIMMER</t>
  </si>
  <si>
    <t>KINETIC SWITCH DIMMER</t>
  </si>
  <si>
    <t>TOUCH DA INCASSO</t>
  </si>
  <si>
    <t>KIN</t>
  </si>
  <si>
    <t>JLALI100</t>
  </si>
  <si>
    <t>JLSENS</t>
  </si>
  <si>
    <t>non codificato</t>
  </si>
  <si>
    <t>SMARTDIM</t>
  </si>
  <si>
    <t>RIFT incasso inclinata</t>
  </si>
  <si>
    <t>Profilo con schermo</t>
  </si>
  <si>
    <t>INCASSO INCLINATA RIFT</t>
  </si>
  <si>
    <t>AL PRONTO :</t>
  </si>
  <si>
    <t>RITIRA CLIENTE</t>
  </si>
  <si>
    <t>CONSEGNA VPA</t>
  </si>
  <si>
    <t>IMBALLO CORRIERE VPA</t>
  </si>
  <si>
    <t>IMBALLO CORRIERE DEL CLIENTE</t>
  </si>
  <si>
    <t>CLICCA QUI</t>
  </si>
  <si>
    <t>MODIFICARE MODULI PER LED - il KITSEN24 e' stato sostituito da:
SENSIR24 € 8,48
MECDRIVERIR24 € 14,80</t>
  </si>
  <si>
    <t>KITSENSIR24</t>
  </si>
  <si>
    <t>SENSORE IR INCASSO LUCE SOFFUSA</t>
  </si>
  <si>
    <t>IRDOOR24S</t>
  </si>
  <si>
    <t>SPORGENTE DRITTA MEC 1 profilo GRIGIO</t>
  </si>
  <si>
    <t>SPORGENTE INCLINATA MEC 3 profilo NERO</t>
  </si>
  <si>
    <t>SPORGENTE DRITTA MEC 1 profilo NERO</t>
  </si>
  <si>
    <t>SPORGENTE INCLINATA MEC 3 profilo GRIGIO</t>
  </si>
  <si>
    <t>MECREELPP</t>
  </si>
  <si>
    <t>PROLUNGA 2200mm (attacchi NERI)</t>
  </si>
  <si>
    <t>JLALI60</t>
  </si>
  <si>
    <t>LINIEAL60</t>
  </si>
  <si>
    <t>CAVO GIUNZIONE TRA LED 100mm</t>
  </si>
  <si>
    <t>CAVO GIUNZIONE TRA LED 400mm</t>
  </si>
  <si>
    <t>CAVO GIUNZIONE TRA LED 700mm</t>
  </si>
  <si>
    <t>no L&amp;S</t>
  </si>
  <si>
    <t>SENSORE IR ESTERNO (SINGOLO/DOPPIO)</t>
  </si>
  <si>
    <t>SENSORE IR INCASSO (SINGOLO/DOPPIO)</t>
  </si>
  <si>
    <t>RIMUOVERE</t>
  </si>
  <si>
    <t>PROLUNGA DA 3 metri (attacchi BIANCHI)</t>
  </si>
  <si>
    <t>TELECOMANDO RADIO (ON/OFF)</t>
  </si>
  <si>
    <t>KIT TELECOMANDO RADIO (DIMMERABILE)</t>
  </si>
  <si>
    <t>ABBINABILE SOLO AD ALIM. L&amp;S</t>
  </si>
  <si>
    <t>LAMPADE V.10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</si>
</sst>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#,##0.00\ &quot;€&quot;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9"/>
      <color indexed="8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i/>
      <sz val="16"/>
      <name val="Times New Roman"/>
      <family val="1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2"/>
      <color rgb="FFFF0000"/>
      <name val="Calibri"/>
      <family val="2"/>
      <scheme val="minor"/>
    </font>
    <font>
      <i/>
      <sz val="9"/>
      <name val="Arial"/>
      <family val="2"/>
    </font>
    <font>
      <b/>
      <sz val="12"/>
      <color rgb="FFFF0000"/>
      <name val="Calibri"/>
      <family val="2"/>
      <scheme val="minor"/>
    </font>
    <font>
      <sz val="14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6"/>
      <name val="Arial"/>
      <family val="2"/>
    </font>
    <font>
      <sz val="9"/>
      <name val="Arial"/>
      <family val="2"/>
    </font>
    <font>
      <sz val="28"/>
      <color theme="1"/>
      <name val="Calibri"/>
      <family val="2"/>
      <scheme val="minor"/>
    </font>
    <font>
      <sz val="16"/>
      <name val="Arial"/>
      <family val="2"/>
    </font>
    <font>
      <sz val="5"/>
      <name val="Arial"/>
      <family val="2"/>
    </font>
    <font>
      <sz val="14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26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gradientFill degree="90">
        <stop position="0">
          <color rgb="FFFFC000"/>
        </stop>
        <stop position="1">
          <color rgb="FFFFFFFF"/>
        </stop>
      </gradient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249977111117893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249977111117893"/>
      </top>
      <bottom/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249977111117893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1" xfId="0" applyBorder="1"/>
    <xf numFmtId="0" fontId="0" fillId="0" borderId="22" xfId="0" applyBorder="1"/>
    <xf numFmtId="0" fontId="2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/>
    <xf numFmtId="0" fontId="2" fillId="0" borderId="5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33" xfId="0" applyFont="1" applyBorder="1"/>
    <xf numFmtId="0" fontId="2" fillId="0" borderId="34" xfId="0" applyFont="1" applyBorder="1"/>
    <xf numFmtId="0" fontId="6" fillId="0" borderId="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" fontId="2" fillId="0" borderId="36" xfId="0" applyNumberFormat="1" applyFont="1" applyBorder="1"/>
    <xf numFmtId="0" fontId="2" fillId="3" borderId="1" xfId="0" applyFont="1" applyFill="1" applyBorder="1"/>
    <xf numFmtId="0" fontId="0" fillId="0" borderId="25" xfId="0" applyBorder="1" applyAlignment="1">
      <alignment horizontal="center"/>
    </xf>
    <xf numFmtId="0" fontId="1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0" fillId="0" borderId="0" xfId="0" applyNumberFormat="1"/>
    <xf numFmtId="2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2" fontId="10" fillId="5" borderId="0" xfId="0" applyNumberFormat="1" applyFont="1" applyFill="1" applyAlignment="1">
      <alignment horizontal="center" vertical="center"/>
    </xf>
    <xf numFmtId="0" fontId="11" fillId="0" borderId="0" xfId="0" applyFont="1"/>
    <xf numFmtId="2" fontId="12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3" fillId="0" borderId="0" xfId="0" applyFont="1"/>
    <xf numFmtId="2" fontId="14" fillId="0" borderId="0" xfId="0" applyNumberFormat="1" applyFont="1" applyAlignment="1">
      <alignment horizontal="center" vertical="center"/>
    </xf>
    <xf numFmtId="0" fontId="1" fillId="6" borderId="37" xfId="0" applyFont="1" applyFill="1" applyBorder="1"/>
    <xf numFmtId="2" fontId="9" fillId="6" borderId="38" xfId="0" applyNumberFormat="1" applyFont="1" applyFill="1" applyBorder="1" applyAlignment="1">
      <alignment horizontal="center" vertical="center"/>
    </xf>
    <xf numFmtId="2" fontId="10" fillId="6" borderId="38" xfId="0" applyNumberFormat="1" applyFont="1" applyFill="1" applyBorder="1" applyAlignment="1">
      <alignment horizontal="center" vertical="center"/>
    </xf>
    <xf numFmtId="2" fontId="7" fillId="6" borderId="38" xfId="0" applyNumberFormat="1" applyFont="1" applyFill="1" applyBorder="1" applyAlignment="1">
      <alignment horizontal="center" vertical="center"/>
    </xf>
    <xf numFmtId="2" fontId="7" fillId="6" borderId="39" xfId="0" applyNumberFormat="1" applyFont="1" applyFill="1" applyBorder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2" fontId="9" fillId="2" borderId="0" xfId="0" applyNumberFormat="1" applyFont="1" applyFill="1" applyAlignment="1">
      <alignment horizontal="center" vertical="center"/>
    </xf>
    <xf numFmtId="2" fontId="10" fillId="2" borderId="0" xfId="0" applyNumberFormat="1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1" fontId="10" fillId="3" borderId="0" xfId="0" applyNumberFormat="1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0" fillId="0" borderId="27" xfId="0" applyBorder="1"/>
    <xf numFmtId="0" fontId="9" fillId="0" borderId="27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0" xfId="0" applyAlignment="1">
      <alignment horizontal="right"/>
    </xf>
    <xf numFmtId="49" fontId="10" fillId="0" borderId="0" xfId="0" applyNumberFormat="1" applyFont="1" applyAlignment="1">
      <alignment horizontal="center"/>
    </xf>
    <xf numFmtId="0" fontId="9" fillId="0" borderId="0" xfId="0" applyFont="1"/>
    <xf numFmtId="0" fontId="20" fillId="0" borderId="0" xfId="0" applyFont="1" applyAlignment="1">
      <alignment vertical="center" wrapText="1"/>
    </xf>
    <xf numFmtId="0" fontId="18" fillId="0" borderId="0" xfId="0" applyFont="1" applyAlignment="1" applyProtection="1">
      <alignment vertical="top" wrapText="1"/>
      <protection locked="0"/>
    </xf>
    <xf numFmtId="0" fontId="17" fillId="0" borderId="0" xfId="0" applyFont="1"/>
    <xf numFmtId="0" fontId="18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vertical="center"/>
    </xf>
    <xf numFmtId="0" fontId="1" fillId="0" borderId="0" xfId="0" applyFont="1"/>
    <xf numFmtId="0" fontId="27" fillId="0" borderId="0" xfId="0" applyFont="1"/>
    <xf numFmtId="0" fontId="25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29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3" fillId="0" borderId="0" xfId="0" applyFont="1" applyAlignment="1">
      <alignment vertical="top"/>
    </xf>
    <xf numFmtId="0" fontId="0" fillId="0" borderId="0" xfId="0" applyProtection="1">
      <protection locked="0"/>
    </xf>
    <xf numFmtId="0" fontId="17" fillId="0" borderId="0" xfId="0" applyFont="1" applyAlignment="1">
      <alignment horizontal="left" wrapText="1"/>
    </xf>
    <xf numFmtId="0" fontId="35" fillId="0" borderId="26" xfId="0" applyFont="1" applyBorder="1" applyAlignment="1">
      <alignment horizontal="right" wrapText="1"/>
    </xf>
    <xf numFmtId="0" fontId="0" fillId="0" borderId="0" xfId="0" applyAlignment="1" applyProtection="1">
      <alignment horizontal="center"/>
      <protection locked="0"/>
    </xf>
    <xf numFmtId="0" fontId="37" fillId="0" borderId="25" xfId="0" applyFont="1" applyBorder="1" applyAlignment="1">
      <alignment vertical="center" wrapText="1"/>
    </xf>
    <xf numFmtId="0" fontId="29" fillId="0" borderId="29" xfId="0" applyFont="1" applyBorder="1"/>
    <xf numFmtId="14" fontId="17" fillId="0" borderId="42" xfId="0" applyNumberFormat="1" applyFont="1" applyBorder="1"/>
    <xf numFmtId="0" fontId="19" fillId="0" borderId="42" xfId="0" applyFont="1" applyBorder="1" applyAlignment="1">
      <alignment vertical="center" wrapText="1"/>
    </xf>
    <xf numFmtId="0" fontId="36" fillId="0" borderId="43" xfId="0" applyFont="1" applyBorder="1" applyAlignment="1">
      <alignment horizontal="right" wrapText="1"/>
    </xf>
    <xf numFmtId="0" fontId="29" fillId="0" borderId="0" xfId="0" applyFont="1"/>
    <xf numFmtId="0" fontId="37" fillId="0" borderId="0" xfId="0" applyFont="1" applyAlignment="1">
      <alignment vertical="center" wrapText="1"/>
    </xf>
    <xf numFmtId="0" fontId="37" fillId="0" borderId="0" xfId="0" applyFont="1"/>
    <xf numFmtId="0" fontId="1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right"/>
    </xf>
    <xf numFmtId="0" fontId="0" fillId="7" borderId="0" xfId="0" applyFill="1"/>
    <xf numFmtId="2" fontId="20" fillId="7" borderId="0" xfId="0" applyNumberFormat="1" applyFont="1" applyFill="1" applyAlignment="1">
      <alignment vertical="center" wrapText="1"/>
    </xf>
    <xf numFmtId="0" fontId="32" fillId="7" borderId="0" xfId="0" applyFont="1" applyFill="1" applyAlignment="1">
      <alignment horizontal="center" wrapText="1"/>
    </xf>
    <xf numFmtId="0" fontId="25" fillId="7" borderId="0" xfId="0" applyFont="1" applyFill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13" xfId="0" applyBorder="1"/>
    <xf numFmtId="0" fontId="19" fillId="0" borderId="52" xfId="0" applyFont="1" applyBorder="1" applyAlignment="1">
      <alignment vertical="center" wrapText="1"/>
    </xf>
    <xf numFmtId="0" fontId="39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vertical="center"/>
    </xf>
    <xf numFmtId="0" fontId="10" fillId="0" borderId="25" xfId="0" applyFont="1" applyBorder="1" applyAlignment="1">
      <alignment horizontal="center"/>
    </xf>
    <xf numFmtId="0" fontId="29" fillId="0" borderId="51" xfId="0" applyFont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25" fillId="0" borderId="42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5" fillId="0" borderId="0" xfId="0" applyFont="1"/>
    <xf numFmtId="0" fontId="22" fillId="0" borderId="0" xfId="0" applyFont="1" applyAlignment="1">
      <alignment vertical="center"/>
    </xf>
    <xf numFmtId="0" fontId="0" fillId="0" borderId="40" xfId="0" applyBorder="1"/>
    <xf numFmtId="0" fontId="30" fillId="0" borderId="0" xfId="0" applyFont="1" applyAlignment="1">
      <alignment vertical="center" wrapText="1"/>
    </xf>
    <xf numFmtId="0" fontId="21" fillId="0" borderId="0" xfId="0" applyFont="1" applyAlignment="1">
      <alignment vertical="top" wrapText="1"/>
    </xf>
    <xf numFmtId="0" fontId="0" fillId="0" borderId="29" xfId="0" applyBorder="1"/>
    <xf numFmtId="0" fontId="0" fillId="0" borderId="41" xfId="0" applyBorder="1"/>
    <xf numFmtId="0" fontId="0" fillId="0" borderId="25" xfId="0" applyBorder="1"/>
    <xf numFmtId="0" fontId="0" fillId="0" borderId="2" xfId="0" applyBorder="1"/>
    <xf numFmtId="0" fontId="1" fillId="0" borderId="25" xfId="0" applyFont="1" applyBorder="1"/>
    <xf numFmtId="0" fontId="1" fillId="0" borderId="26" xfId="0" applyFont="1" applyBorder="1"/>
    <xf numFmtId="0" fontId="0" fillId="0" borderId="28" xfId="0" applyBorder="1"/>
    <xf numFmtId="0" fontId="9" fillId="0" borderId="40" xfId="0" applyFont="1" applyBorder="1" applyAlignment="1">
      <alignment horizontal="left" vertical="center"/>
    </xf>
    <xf numFmtId="0" fontId="37" fillId="0" borderId="25" xfId="0" applyFont="1" applyBorder="1" applyAlignment="1">
      <alignment horizontal="right"/>
    </xf>
    <xf numFmtId="0" fontId="37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2" fontId="18" fillId="0" borderId="1" xfId="0" applyNumberFormat="1" applyFont="1" applyBorder="1" applyAlignment="1">
      <alignment horizontal="center" vertical="center" wrapText="1"/>
    </xf>
    <xf numFmtId="0" fontId="34" fillId="0" borderId="29" xfId="0" applyFont="1" applyBorder="1" applyAlignment="1">
      <alignment horizontal="right" wrapText="1"/>
    </xf>
    <xf numFmtId="0" fontId="34" fillId="0" borderId="40" xfId="0" applyFont="1" applyBorder="1" applyAlignment="1">
      <alignment horizontal="right" wrapText="1"/>
    </xf>
    <xf numFmtId="0" fontId="33" fillId="0" borderId="40" xfId="0" applyFont="1" applyBorder="1" applyAlignment="1">
      <alignment horizontal="left" wrapText="1"/>
    </xf>
    <xf numFmtId="0" fontId="33" fillId="0" borderId="41" xfId="0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center" wrapText="1"/>
    </xf>
    <xf numFmtId="0" fontId="34" fillId="0" borderId="2" xfId="0" applyFont="1" applyBorder="1" applyAlignment="1">
      <alignment horizontal="center" wrapText="1"/>
    </xf>
    <xf numFmtId="0" fontId="35" fillId="0" borderId="25" xfId="0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wrapText="1"/>
    </xf>
    <xf numFmtId="0" fontId="34" fillId="0" borderId="27" xfId="0" applyFont="1" applyBorder="1" applyAlignment="1">
      <alignment horizontal="left" wrapText="1"/>
    </xf>
    <xf numFmtId="0" fontId="34" fillId="0" borderId="28" xfId="0" applyFont="1" applyBorder="1" applyAlignment="1">
      <alignment horizontal="left" wrapText="1"/>
    </xf>
    <xf numFmtId="0" fontId="19" fillId="0" borderId="40" xfId="0" applyFont="1" applyBorder="1" applyAlignment="1">
      <alignment horizontal="center" vertical="center" wrapText="1"/>
    </xf>
    <xf numFmtId="0" fontId="0" fillId="0" borderId="40" xfId="0" applyBorder="1" applyAlignment="1">
      <alignment horizontal="center"/>
    </xf>
    <xf numFmtId="0" fontId="37" fillId="0" borderId="0" xfId="0" applyFont="1" applyAlignment="1">
      <alignment horizontal="center" vertical="center" wrapText="1"/>
    </xf>
    <xf numFmtId="2" fontId="34" fillId="0" borderId="27" xfId="0" applyNumberFormat="1" applyFont="1" applyBorder="1" applyAlignment="1">
      <alignment horizontal="left" wrapText="1"/>
    </xf>
    <xf numFmtId="0" fontId="21" fillId="0" borderId="27" xfId="0" applyFont="1" applyBorder="1" applyAlignment="1">
      <alignment horizontal="right" vertical="center" wrapText="1"/>
    </xf>
    <xf numFmtId="0" fontId="37" fillId="0" borderId="31" xfId="0" applyFont="1" applyBorder="1" applyAlignment="1">
      <alignment horizontal="right"/>
    </xf>
    <xf numFmtId="0" fontId="37" fillId="0" borderId="30" xfId="0" applyFont="1" applyBorder="1" applyAlignment="1">
      <alignment horizontal="right"/>
    </xf>
    <xf numFmtId="0" fontId="19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37" fillId="0" borderId="29" xfId="0" applyFont="1" applyBorder="1" applyAlignment="1">
      <alignment horizontal="right"/>
    </xf>
    <xf numFmtId="0" fontId="37" fillId="0" borderId="40" xfId="0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37" fillId="0" borderId="40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5" fillId="0" borderId="50" xfId="0" applyFont="1" applyBorder="1" applyAlignment="1" applyProtection="1">
      <alignment horizontal="left" vertical="top"/>
      <protection locked="0"/>
    </xf>
    <xf numFmtId="0" fontId="45" fillId="0" borderId="0" xfId="0" applyFont="1" applyAlignment="1" applyProtection="1">
      <alignment horizontal="left" vertical="top"/>
      <protection locked="0"/>
    </xf>
    <xf numFmtId="0" fontId="19" fillId="0" borderId="50" xfId="0" applyFont="1" applyBorder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/>
      <protection locked="0"/>
    </xf>
    <xf numFmtId="0" fontId="23" fillId="0" borderId="50" xfId="0" applyFont="1" applyBorder="1" applyAlignment="1">
      <alignment horizontal="right" vertical="top"/>
    </xf>
    <xf numFmtId="0" fontId="23" fillId="0" borderId="0" xfId="0" applyFont="1" applyAlignment="1">
      <alignment horizontal="right" vertical="top"/>
    </xf>
    <xf numFmtId="2" fontId="18" fillId="0" borderId="29" xfId="0" applyNumberFormat="1" applyFont="1" applyBorder="1" applyAlignment="1">
      <alignment horizontal="center" vertical="center" wrapText="1"/>
    </xf>
    <xf numFmtId="2" fontId="18" fillId="0" borderId="40" xfId="0" applyNumberFormat="1" applyFont="1" applyBorder="1" applyAlignment="1">
      <alignment horizontal="center" vertical="center" wrapText="1"/>
    </xf>
    <xf numFmtId="2" fontId="18" fillId="0" borderId="41" xfId="0" applyNumberFormat="1" applyFont="1" applyBorder="1" applyAlignment="1">
      <alignment horizontal="center" vertical="center" wrapText="1"/>
    </xf>
    <xf numFmtId="2" fontId="18" fillId="0" borderId="25" xfId="0" applyNumberFormat="1" applyFont="1" applyBorder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2" fontId="18" fillId="0" borderId="26" xfId="0" applyNumberFormat="1" applyFont="1" applyBorder="1" applyAlignment="1">
      <alignment horizontal="center" vertical="center" wrapText="1"/>
    </xf>
    <xf numFmtId="2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7" fillId="0" borderId="31" xfId="0" applyFont="1" applyBorder="1" applyAlignment="1">
      <alignment horizontal="center" wrapText="1"/>
    </xf>
    <xf numFmtId="0" fontId="17" fillId="0" borderId="30" xfId="0" applyFont="1" applyBorder="1" applyAlignment="1">
      <alignment horizontal="center" wrapText="1"/>
    </xf>
    <xf numFmtId="0" fontId="0" fillId="0" borderId="42" xfId="0" applyBorder="1" applyAlignment="1" applyProtection="1">
      <alignment horizontal="left"/>
      <protection locked="0"/>
    </xf>
    <xf numFmtId="0" fontId="26" fillId="0" borderId="42" xfId="0" applyFont="1" applyBorder="1" applyAlignment="1" applyProtection="1">
      <alignment horizontal="center" vertical="center"/>
      <protection locked="0"/>
    </xf>
    <xf numFmtId="0" fontId="26" fillId="0" borderId="62" xfId="0" applyFont="1" applyBorder="1" applyAlignment="1" applyProtection="1">
      <alignment horizontal="center" vertical="center"/>
      <protection locked="0"/>
    </xf>
    <xf numFmtId="0" fontId="26" fillId="0" borderId="6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61" xfId="0" applyFont="1" applyBorder="1" applyAlignment="1" applyProtection="1">
      <alignment horizontal="center" vertical="center"/>
      <protection locked="0"/>
    </xf>
    <xf numFmtId="0" fontId="26" fillId="0" borderId="42" xfId="0" applyFont="1" applyBorder="1" applyAlignment="1">
      <alignment horizontal="right"/>
    </xf>
    <xf numFmtId="0" fontId="31" fillId="0" borderId="47" xfId="0" applyFont="1" applyBorder="1" applyAlignment="1" applyProtection="1">
      <alignment horizontal="center" vertical="center"/>
      <protection locked="0"/>
    </xf>
    <xf numFmtId="0" fontId="31" fillId="0" borderId="42" xfId="0" applyFont="1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5" xfId="0" applyBorder="1" applyAlignment="1" applyProtection="1">
      <alignment horizontal="center"/>
      <protection locked="0"/>
    </xf>
    <xf numFmtId="0" fontId="30" fillId="0" borderId="53" xfId="0" applyFont="1" applyBorder="1" applyAlignment="1" applyProtection="1">
      <alignment horizontal="center" vertical="center" wrapText="1"/>
      <protection locked="0"/>
    </xf>
    <xf numFmtId="0" fontId="30" fillId="0" borderId="54" xfId="0" applyFont="1" applyBorder="1" applyAlignment="1" applyProtection="1">
      <alignment horizontal="center" vertical="center" wrapText="1"/>
      <protection locked="0"/>
    </xf>
    <xf numFmtId="0" fontId="30" fillId="0" borderId="55" xfId="0" applyFont="1" applyBorder="1" applyAlignment="1" applyProtection="1">
      <alignment horizontal="center" vertical="center" wrapText="1"/>
      <protection locked="0"/>
    </xf>
    <xf numFmtId="0" fontId="0" fillId="0" borderId="51" xfId="0" applyBorder="1" applyAlignment="1">
      <alignment horizontal="right" vertical="top"/>
    </xf>
    <xf numFmtId="0" fontId="0" fillId="0" borderId="42" xfId="0" applyBorder="1" applyAlignment="1">
      <alignment horizontal="center"/>
    </xf>
    <xf numFmtId="0" fontId="26" fillId="0" borderId="47" xfId="0" applyFont="1" applyBorder="1" applyAlignment="1">
      <alignment horizontal="right"/>
    </xf>
    <xf numFmtId="0" fontId="26" fillId="0" borderId="56" xfId="0" applyFont="1" applyBorder="1" applyAlignment="1" applyProtection="1">
      <alignment horizontal="center" vertical="center"/>
      <protection locked="0"/>
    </xf>
    <xf numFmtId="0" fontId="26" fillId="0" borderId="57" xfId="0" applyFont="1" applyBorder="1" applyAlignment="1" applyProtection="1">
      <alignment horizontal="center" vertical="center"/>
      <protection locked="0"/>
    </xf>
    <xf numFmtId="0" fontId="26" fillId="0" borderId="58" xfId="0" applyFont="1" applyBorder="1" applyAlignment="1" applyProtection="1">
      <alignment horizontal="center" vertical="center"/>
      <protection locked="0"/>
    </xf>
    <xf numFmtId="0" fontId="25" fillId="0" borderId="47" xfId="0" applyFont="1" applyBorder="1" applyAlignment="1">
      <alignment horizontal="center" vertical="center"/>
    </xf>
    <xf numFmtId="0" fontId="26" fillId="0" borderId="59" xfId="0" applyFont="1" applyBorder="1" applyAlignment="1" applyProtection="1">
      <alignment horizontal="center" vertical="center"/>
      <protection locked="0"/>
    </xf>
    <xf numFmtId="0" fontId="26" fillId="0" borderId="48" xfId="0" applyFont="1" applyBorder="1" applyAlignment="1" applyProtection="1">
      <alignment horizontal="center" vertical="center"/>
      <protection locked="0"/>
    </xf>
    <xf numFmtId="0" fontId="26" fillId="0" borderId="60" xfId="0" applyFont="1" applyBorder="1" applyAlignment="1" applyProtection="1">
      <alignment horizontal="center" vertical="center"/>
      <protection locked="0"/>
    </xf>
    <xf numFmtId="1" fontId="17" fillId="0" borderId="45" xfId="0" applyNumberFormat="1" applyFont="1" applyBorder="1" applyAlignment="1" applyProtection="1">
      <alignment horizontal="center"/>
      <protection locked="0"/>
    </xf>
    <xf numFmtId="1" fontId="17" fillId="0" borderId="64" xfId="0" applyNumberFormat="1" applyFont="1" applyBorder="1" applyAlignment="1" applyProtection="1">
      <alignment horizontal="center"/>
      <protection locked="0"/>
    </xf>
    <xf numFmtId="0" fontId="28" fillId="0" borderId="63" xfId="0" applyFont="1" applyBorder="1" applyAlignment="1" applyProtection="1">
      <alignment horizontal="center"/>
      <protection locked="0"/>
    </xf>
    <xf numFmtId="0" fontId="28" fillId="0" borderId="46" xfId="0" applyFont="1" applyBorder="1" applyAlignment="1" applyProtection="1">
      <alignment horizontal="center"/>
      <protection locked="0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14" fontId="17" fillId="0" borderId="42" xfId="0" applyNumberFormat="1" applyFont="1" applyBorder="1" applyAlignment="1">
      <alignment horizontal="left"/>
    </xf>
    <xf numFmtId="2" fontId="28" fillId="0" borderId="61" xfId="0" applyNumberFormat="1" applyFont="1" applyBorder="1" applyAlignment="1">
      <alignment horizontal="center"/>
    </xf>
    <xf numFmtId="2" fontId="28" fillId="0" borderId="42" xfId="0" applyNumberFormat="1" applyFont="1" applyBorder="1" applyAlignment="1">
      <alignment horizontal="center"/>
    </xf>
    <xf numFmtId="0" fontId="19" fillId="7" borderId="0" xfId="0" applyFont="1" applyFill="1" applyAlignment="1">
      <alignment horizontal="center" vertical="center" wrapText="1"/>
    </xf>
    <xf numFmtId="0" fontId="21" fillId="0" borderId="65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66" xfId="0" applyFont="1" applyBorder="1" applyAlignment="1">
      <alignment horizontal="center" vertical="top" wrapText="1"/>
    </xf>
    <xf numFmtId="0" fontId="21" fillId="0" borderId="67" xfId="0" applyFont="1" applyBorder="1" applyAlignment="1">
      <alignment horizontal="center" vertical="top" wrapText="1"/>
    </xf>
    <xf numFmtId="0" fontId="21" fillId="0" borderId="68" xfId="0" applyFont="1" applyBorder="1" applyAlignment="1">
      <alignment horizontal="center" vertical="top" wrapText="1"/>
    </xf>
    <xf numFmtId="0" fontId="21" fillId="0" borderId="69" xfId="0" applyFont="1" applyBorder="1" applyAlignment="1">
      <alignment horizontal="center" vertical="top" wrapText="1"/>
    </xf>
    <xf numFmtId="2" fontId="17" fillId="0" borderId="42" xfId="0" applyNumberFormat="1" applyFont="1" applyBorder="1" applyAlignment="1">
      <alignment horizontal="center"/>
    </xf>
    <xf numFmtId="2" fontId="17" fillId="0" borderId="62" xfId="0" applyNumberFormat="1" applyFont="1" applyBorder="1" applyAlignment="1">
      <alignment horizontal="center"/>
    </xf>
    <xf numFmtId="0" fontId="19" fillId="0" borderId="42" xfId="0" applyFont="1" applyBorder="1" applyAlignment="1" applyProtection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/>
    </xf>
    <xf numFmtId="0" fontId="19" fillId="0" borderId="52" xfId="0" applyFont="1" applyBorder="1" applyAlignment="1" applyProtection="1">
      <alignment horizontal="center" vertical="center" wrapText="1"/>
      <protection locked="0"/>
    </xf>
    <xf numFmtId="0" fontId="19" fillId="0" borderId="42" xfId="0" applyFont="1" applyBorder="1" applyAlignment="1">
      <alignment horizontal="center" vertical="center"/>
    </xf>
    <xf numFmtId="0" fontId="19" fillId="0" borderId="42" xfId="0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>
      <alignment horizontal="center" vertical="center"/>
    </xf>
    <xf numFmtId="0" fontId="26" fillId="0" borderId="48" xfId="0" applyFont="1" applyBorder="1" applyAlignment="1">
      <alignment horizontal="right"/>
    </xf>
    <xf numFmtId="0" fontId="35" fillId="0" borderId="0" xfId="0" applyFont="1" applyAlignment="1">
      <alignment horizontal="left" wrapText="1"/>
    </xf>
    <xf numFmtId="0" fontId="41" fillId="0" borderId="25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17" fillId="8" borderId="0" xfId="0" applyFont="1" applyFill="1" applyAlignment="1">
      <alignment horizontal="center" wrapText="1"/>
    </xf>
    <xf numFmtId="14" fontId="17" fillId="0" borderId="0" xfId="0" applyNumberFormat="1" applyFont="1" applyAlignment="1">
      <alignment horizontal="center"/>
    </xf>
    <xf numFmtId="0" fontId="26" fillId="0" borderId="52" xfId="0" applyFont="1" applyBorder="1" applyAlignment="1" applyProtection="1">
      <alignment horizontal="center" vertic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17" fillId="0" borderId="54" xfId="0" applyFont="1" applyBorder="1" applyAlignment="1" applyProtection="1">
      <alignment horizontal="center"/>
      <protection locked="0"/>
    </xf>
    <xf numFmtId="0" fontId="17" fillId="0" borderId="55" xfId="0" applyFont="1" applyBorder="1" applyAlignment="1" applyProtection="1">
      <alignment horizontal="center"/>
      <protection locked="0"/>
    </xf>
    <xf numFmtId="0" fontId="42" fillId="0" borderId="50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17" fillId="0" borderId="30" xfId="0" applyFont="1" applyBorder="1" applyAlignment="1">
      <alignment horizontal="left" wrapText="1"/>
    </xf>
    <xf numFmtId="0" fontId="17" fillId="0" borderId="44" xfId="0" applyFont="1" applyBorder="1" applyAlignment="1">
      <alignment horizontal="left" wrapText="1"/>
    </xf>
    <xf numFmtId="0" fontId="17" fillId="0" borderId="27" xfId="0" applyFont="1" applyBorder="1" applyAlignment="1">
      <alignment horizontal="center" wrapText="1"/>
    </xf>
    <xf numFmtId="0" fontId="17" fillId="0" borderId="28" xfId="0" applyFont="1" applyBorder="1" applyAlignment="1">
      <alignment horizontal="center" wrapText="1"/>
    </xf>
    <xf numFmtId="0" fontId="17" fillId="0" borderId="43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2" fontId="35" fillId="0" borderId="0" xfId="0" applyNumberFormat="1" applyFont="1" applyAlignment="1">
      <alignment horizontal="left" wrapText="1"/>
    </xf>
    <xf numFmtId="0" fontId="31" fillId="0" borderId="42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 wrapText="1"/>
    </xf>
    <xf numFmtId="0" fontId="19" fillId="0" borderId="50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3" fillId="0" borderId="51" xfId="0" applyFont="1" applyBorder="1" applyAlignment="1">
      <alignment horizontal="center" vertical="top"/>
    </xf>
    <xf numFmtId="0" fontId="45" fillId="0" borderId="0" xfId="0" applyFont="1" applyAlignment="1" applyProtection="1">
      <alignment horizontal="left" vertical="center"/>
      <protection locked="0"/>
    </xf>
    <xf numFmtId="0" fontId="29" fillId="0" borderId="51" xfId="0" applyFont="1" applyBorder="1" applyAlignment="1">
      <alignment horizontal="right" vertical="center"/>
    </xf>
    <xf numFmtId="0" fontId="29" fillId="0" borderId="51" xfId="0" applyFont="1" applyBorder="1" applyAlignment="1">
      <alignment horizontal="left" vertical="center"/>
    </xf>
    <xf numFmtId="0" fontId="29" fillId="0" borderId="51" xfId="0" applyFont="1" applyBorder="1" applyAlignment="1">
      <alignment horizontal="center" vertical="center"/>
    </xf>
    <xf numFmtId="0" fontId="44" fillId="0" borderId="0" xfId="0" applyFont="1" applyAlignment="1">
      <alignment horizontal="center" wrapText="1"/>
    </xf>
    <xf numFmtId="0" fontId="0" fillId="0" borderId="70" xfId="0" applyBorder="1" applyAlignment="1">
      <alignment horizontal="right"/>
    </xf>
    <xf numFmtId="0" fontId="27" fillId="0" borderId="70" xfId="0" applyFont="1" applyBorder="1" applyAlignment="1" applyProtection="1">
      <alignment horizontal="left" vertical="center"/>
      <protection locked="0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horizontal="right"/>
    </xf>
    <xf numFmtId="0" fontId="38" fillId="0" borderId="0" xfId="0" applyFont="1" applyAlignment="1" applyProtection="1">
      <alignment horizontal="center"/>
      <protection locked="0"/>
    </xf>
    <xf numFmtId="0" fontId="21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7" fillId="4" borderId="14" xfId="0" applyFont="1" applyFill="1" applyBorder="1" applyAlignment="1">
      <alignment horizontal="right"/>
    </xf>
    <xf numFmtId="0" fontId="7" fillId="4" borderId="15" xfId="0" applyFont="1" applyFill="1" applyBorder="1" applyAlignment="1">
      <alignment horizontal="right"/>
    </xf>
    <xf numFmtId="0" fontId="7" fillId="4" borderId="16" xfId="0" applyFont="1" applyFill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49" xfId="0" applyBorder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</cellXfs>
  <cellStyles count="1">
    <cellStyle name="Normale" xfId="0" builtinId="0"/>
  </cellStyles>
  <dxfs count="95">
    <dxf>
      <fill>
        <gradientFill degree="180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rgb="FFFFFFFF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FFFFFF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rgb="FFFFFFFF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gradientFill degree="180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FFFFFF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rgb="FFFFFFFF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 val="0"/>
      </font>
      <fill>
        <patternFill>
          <bgColor rgb="FFFFFFFF"/>
        </patternFill>
      </fill>
    </dxf>
    <dxf>
      <font>
        <strike val="0"/>
      </font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/>
      </font>
      <fill>
        <gradientFill type="path" left="0.5" right="0.5" top="0.5" bottom="0.5">
          <stop position="0">
            <color rgb="FFFFFFFF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patternFill patternType="solid">
          <fgColor auto="1"/>
          <bgColor rgb="FFFFFFFF"/>
        </patternFill>
      </fill>
    </dxf>
    <dxf>
      <font>
        <strike val="0"/>
      </font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degree="18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 val="0"/>
      </font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numFmt numFmtId="0" formatCode="General"/>
      <fill>
        <gradientFill degree="180">
          <stop position="0">
            <color theme="0"/>
          </stop>
          <stop position="1">
            <color rgb="FF99FF66"/>
          </stop>
        </gradient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CCFF66"/>
        </patternFill>
      </fill>
    </dxf>
    <dxf>
      <fill>
        <patternFill patternType="lightUp"/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rgb="FFFFFFFF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 patternType="solid">
          <fgColor auto="1"/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 patternType="solid">
          <fgColor auto="1"/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ont>
        <strike val="0"/>
      </font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/>
      </font>
      <fill>
        <gradientFill type="path" left="0.5" right="0.5" top="0.5" bottom="0.5">
          <stop position="0">
            <color theme="0"/>
          </stop>
          <stop position="1">
            <color rgb="FFFF0000"/>
          </stop>
        </gradientFill>
      </fill>
    </dxf>
    <dxf>
      <font>
        <strike val="0"/>
      </font>
      <fill>
        <gradientFill type="path" left="0.5" right="0.5" top="0.5" bottom="0.5">
          <stop position="0">
            <color theme="0"/>
          </stop>
          <stop position="1">
            <color rgb="FF99FF66"/>
          </stop>
        </gradientFill>
      </fill>
    </dxf>
    <dxf>
      <fill>
        <patternFill patternType="solid">
          <fgColor auto="1"/>
          <bgColor rgb="FFFFFFFF"/>
        </patternFill>
      </fill>
    </dxf>
    <dxf>
      <fill>
        <gradientFill degree="270">
          <stop position="0">
            <color theme="0"/>
          </stop>
          <stop position="1">
            <color rgb="FF99FF66"/>
          </stop>
        </gradient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fill>
        <patternFill>
          <bgColor rgb="FFFFFFFF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</font>
      <fill>
        <gradientFill degree="180">
          <stop position="0">
            <color theme="0"/>
          </stop>
          <stop position="1">
            <color rgb="FF99FF33"/>
          </stop>
        </gradientFill>
      </fill>
    </dxf>
  </dxfs>
  <tableStyles count="0" defaultTableStyle="TableStyleMedium9" defaultPivotStyle="PivotStyleLight16"/>
  <colors>
    <mruColors>
      <color rgb="FF99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18" Type="http://schemas.openxmlformats.org/officeDocument/2006/relationships/image" Target="../media/image30.jpg"/><Relationship Id="rId26" Type="http://schemas.openxmlformats.org/officeDocument/2006/relationships/image" Target="../media/image38.jpeg"/><Relationship Id="rId3" Type="http://schemas.openxmlformats.org/officeDocument/2006/relationships/image" Target="../media/image15.png"/><Relationship Id="rId21" Type="http://schemas.openxmlformats.org/officeDocument/2006/relationships/image" Target="../media/image33.jpe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jpg"/><Relationship Id="rId1" Type="http://schemas.openxmlformats.org/officeDocument/2006/relationships/image" Target="../media/image13.jpe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jpg"/><Relationship Id="rId10" Type="http://schemas.openxmlformats.org/officeDocument/2006/relationships/image" Target="../media/image22.png"/><Relationship Id="rId19" Type="http://schemas.openxmlformats.org/officeDocument/2006/relationships/image" Target="../media/image31.jpe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jpeg"/><Relationship Id="rId27" Type="http://schemas.openxmlformats.org/officeDocument/2006/relationships/image" Target="../media/image39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57150</xdr:rowOff>
    </xdr:from>
    <xdr:to>
      <xdr:col>6</xdr:col>
      <xdr:colOff>33919</xdr:colOff>
      <xdr:row>4</xdr:row>
      <xdr:rowOff>71721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A8BA8ED-184C-4520-BCF0-165FC1CE7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57150"/>
          <a:ext cx="1104900" cy="7810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15</xdr:row>
          <xdr:rowOff>38720</xdr:rowOff>
        </xdr:from>
        <xdr:to>
          <xdr:col>14</xdr:col>
          <xdr:colOff>187635</xdr:colOff>
          <xdr:row>24</xdr:row>
          <xdr:rowOff>39339</xdr:rowOff>
        </xdr:to>
        <xdr:pic>
          <xdr:nvPicPr>
            <xdr:cNvPr id="4" name="Immagine 3">
              <a:extLst>
                <a:ext uri="{FF2B5EF4-FFF2-40B4-BE49-F238E27FC236}">
                  <a16:creationId xmlns:a16="http://schemas.microsoft.com/office/drawing/2014/main" id="{695C1CF2-2E92-43DC-8D66-28B51BC25F39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1" spid="_x0000_s13312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018466" y="2478049"/>
              <a:ext cx="1107998" cy="728546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61951</xdr:colOff>
          <xdr:row>27</xdr:row>
          <xdr:rowOff>46204</xdr:rowOff>
        </xdr:from>
        <xdr:to>
          <xdr:col>46</xdr:col>
          <xdr:colOff>186510</xdr:colOff>
          <xdr:row>53</xdr:row>
          <xdr:rowOff>76897</xdr:rowOff>
        </xdr:to>
        <xdr:pic>
          <xdr:nvPicPr>
            <xdr:cNvPr id="5" name="Immagine 4">
              <a:extLst>
                <a:ext uri="{FF2B5EF4-FFF2-40B4-BE49-F238E27FC236}">
                  <a16:creationId xmlns:a16="http://schemas.microsoft.com/office/drawing/2014/main" id="{FA45390F-F83B-46BD-BA4B-F79DE53060AC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ESSORI3" spid="_x0000_s13313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9194745" y="3560049"/>
              <a:ext cx="2782722" cy="252000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23233</xdr:colOff>
          <xdr:row>27</xdr:row>
          <xdr:rowOff>45943</xdr:rowOff>
        </xdr:from>
        <xdr:to>
          <xdr:col>16</xdr:col>
          <xdr:colOff>117642</xdr:colOff>
          <xdr:row>53</xdr:row>
          <xdr:rowOff>76636</xdr:rowOff>
        </xdr:to>
        <xdr:pic>
          <xdr:nvPicPr>
            <xdr:cNvPr id="7" name="Immagine 6">
              <a:extLst>
                <a:ext uri="{FF2B5EF4-FFF2-40B4-BE49-F238E27FC236}">
                  <a16:creationId xmlns:a16="http://schemas.microsoft.com/office/drawing/2014/main" id="{1D362686-83A6-4205-9196-9682DFCD5DBD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ESSORI1" spid="_x0000_s13314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624599" y="3559788"/>
              <a:ext cx="3073491" cy="252000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23232</xdr:colOff>
          <xdr:row>27</xdr:row>
          <xdr:rowOff>46204</xdr:rowOff>
        </xdr:from>
        <xdr:to>
          <xdr:col>32</xdr:col>
          <xdr:colOff>73116</xdr:colOff>
          <xdr:row>53</xdr:row>
          <xdr:rowOff>76897</xdr:rowOff>
        </xdr:to>
        <xdr:pic>
          <xdr:nvPicPr>
            <xdr:cNvPr id="8" name="Immagine 7">
              <a:extLst>
                <a:ext uri="{FF2B5EF4-FFF2-40B4-BE49-F238E27FC236}">
                  <a16:creationId xmlns:a16="http://schemas.microsoft.com/office/drawing/2014/main" id="{E5CD5176-8CA3-41E6-8036-CF607986E3CD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ESSORI2" spid="_x0000_s13315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5786257" y="3560049"/>
              <a:ext cx="2959605" cy="252000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7744</xdr:colOff>
          <xdr:row>15</xdr:row>
          <xdr:rowOff>30976</xdr:rowOff>
        </xdr:from>
        <xdr:to>
          <xdr:col>22</xdr:col>
          <xdr:colOff>4552</xdr:colOff>
          <xdr:row>24</xdr:row>
          <xdr:rowOff>33500</xdr:rowOff>
        </xdr:to>
        <xdr:pic>
          <xdr:nvPicPr>
            <xdr:cNvPr id="13" name="Immagine 12">
              <a:extLst>
                <a:ext uri="{FF2B5EF4-FFF2-40B4-BE49-F238E27FC236}">
                  <a16:creationId xmlns:a16="http://schemas.microsoft.com/office/drawing/2014/main" id="{74AFE7A0-2FA4-4BF1-9031-9DC962AFF056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2" spid="_x0000_s13316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5203903" y="2470305"/>
              <a:ext cx="1107998" cy="728546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46464</xdr:colOff>
          <xdr:row>15</xdr:row>
          <xdr:rowOff>30976</xdr:rowOff>
        </xdr:from>
        <xdr:to>
          <xdr:col>28</xdr:col>
          <xdr:colOff>34791</xdr:colOff>
          <xdr:row>24</xdr:row>
          <xdr:rowOff>33500</xdr:rowOff>
        </xdr:to>
        <xdr:pic>
          <xdr:nvPicPr>
            <xdr:cNvPr id="14" name="Immagine 13">
              <a:extLst>
                <a:ext uri="{FF2B5EF4-FFF2-40B4-BE49-F238E27FC236}">
                  <a16:creationId xmlns:a16="http://schemas.microsoft.com/office/drawing/2014/main" id="{27DAE9FE-987A-4295-9631-1DD49BB3EA5D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3" spid="_x0000_s13317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404208" y="2470305"/>
              <a:ext cx="1107998" cy="728546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30976</xdr:colOff>
          <xdr:row>15</xdr:row>
          <xdr:rowOff>30976</xdr:rowOff>
        </xdr:from>
        <xdr:to>
          <xdr:col>35</xdr:col>
          <xdr:colOff>109995</xdr:colOff>
          <xdr:row>24</xdr:row>
          <xdr:rowOff>33500</xdr:rowOff>
        </xdr:to>
        <xdr:pic>
          <xdr:nvPicPr>
            <xdr:cNvPr id="15" name="Immagine 14">
              <a:extLst>
                <a:ext uri="{FF2B5EF4-FFF2-40B4-BE49-F238E27FC236}">
                  <a16:creationId xmlns:a16="http://schemas.microsoft.com/office/drawing/2014/main" id="{F4E8EB3A-3CDE-4CCF-AFF6-E28C19FDCC0B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4" spid="_x0000_s13318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7627744" y="2470305"/>
              <a:ext cx="1107998" cy="728546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30976</xdr:colOff>
          <xdr:row>15</xdr:row>
          <xdr:rowOff>30976</xdr:rowOff>
        </xdr:from>
        <xdr:to>
          <xdr:col>42</xdr:col>
          <xdr:colOff>186226</xdr:colOff>
          <xdr:row>24</xdr:row>
          <xdr:rowOff>33500</xdr:rowOff>
        </xdr:to>
        <xdr:pic>
          <xdr:nvPicPr>
            <xdr:cNvPr id="16" name="Immagine 15">
              <a:extLst>
                <a:ext uri="{FF2B5EF4-FFF2-40B4-BE49-F238E27FC236}">
                  <a16:creationId xmlns:a16="http://schemas.microsoft.com/office/drawing/2014/main" id="{A712005F-4C93-48BE-B33E-AD69B9ABF3F5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ACC5" spid="_x0000_s13319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843537" y="2470305"/>
              <a:ext cx="1107998" cy="728546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24012</xdr:colOff>
          <xdr:row>2</xdr:row>
          <xdr:rowOff>72037</xdr:rowOff>
        </xdr:from>
        <xdr:to>
          <xdr:col>46</xdr:col>
          <xdr:colOff>339987</xdr:colOff>
          <xdr:row>23</xdr:row>
          <xdr:rowOff>40020</xdr:rowOff>
        </xdr:to>
        <xdr:pic>
          <xdr:nvPicPr>
            <xdr:cNvPr id="17" name="Immagine 16">
              <a:extLst>
                <a:ext uri="{FF2B5EF4-FFF2-40B4-BE49-F238E27FC236}">
                  <a16:creationId xmlns:a16="http://schemas.microsoft.com/office/drawing/2014/main" id="{31991E4E-9884-4BA7-8B45-14717F8D45C8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LAMPADEtipologia" spid="_x0000_s13320"/>
                </a:ext>
              </a:extLst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0485504" y="456239"/>
              <a:ext cx="1656870" cy="2857499"/>
            </a:xfrm>
            <a:prstGeom prst="rect">
              <a:avLst/>
            </a:prstGeom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23</xdr:row>
      <xdr:rowOff>47625</xdr:rowOff>
    </xdr:from>
    <xdr:to>
      <xdr:col>4</xdr:col>
      <xdr:colOff>381000</xdr:colOff>
      <xdr:row>41</xdr:row>
      <xdr:rowOff>123825</xdr:rowOff>
    </xdr:to>
    <xdr:pic>
      <xdr:nvPicPr>
        <xdr:cNvPr id="2" name="Immagine 1" descr="KENDO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4695825"/>
          <a:ext cx="2647950" cy="1647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171452</xdr:colOff>
      <xdr:row>2</xdr:row>
      <xdr:rowOff>56022</xdr:rowOff>
    </xdr:from>
    <xdr:to>
      <xdr:col>2</xdr:col>
      <xdr:colOff>3411452</xdr:colOff>
      <xdr:row>2</xdr:row>
      <xdr:rowOff>2486023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041A75-1461-474C-8C34-4F2B6E9F0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452876" y="29445223"/>
          <a:ext cx="2430001" cy="32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</xdr:row>
      <xdr:rowOff>38101</xdr:rowOff>
    </xdr:from>
    <xdr:to>
      <xdr:col>2</xdr:col>
      <xdr:colOff>3411450</xdr:colOff>
      <xdr:row>1</xdr:row>
      <xdr:rowOff>2498100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5DFD0B3-5E5C-432D-9154-3D8C58643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27298651"/>
          <a:ext cx="3240000" cy="2459999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5</xdr:row>
      <xdr:rowOff>47626</xdr:rowOff>
    </xdr:from>
    <xdr:to>
      <xdr:col>2</xdr:col>
      <xdr:colOff>3430499</xdr:colOff>
      <xdr:row>5</xdr:row>
      <xdr:rowOff>1494249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F647D8F-2D21-4771-B36A-A89C2028C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4" y="35547301"/>
          <a:ext cx="3240000" cy="1446623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5</xdr:row>
      <xdr:rowOff>1542182</xdr:rowOff>
    </xdr:from>
    <xdr:to>
      <xdr:col>2</xdr:col>
      <xdr:colOff>3430499</xdr:colOff>
      <xdr:row>5</xdr:row>
      <xdr:rowOff>3551603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6339C76-ADE7-43D4-B5B7-79DC1ABF6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4" y="37041857"/>
          <a:ext cx="3240000" cy="200942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666751</xdr:colOff>
      <xdr:row>7</xdr:row>
      <xdr:rowOff>28574</xdr:rowOff>
    </xdr:from>
    <xdr:to>
      <xdr:col>2</xdr:col>
      <xdr:colOff>3171825</xdr:colOff>
      <xdr:row>7</xdr:row>
      <xdr:rowOff>3772146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97AACC62-9B68-46E1-9EA4-F680FFDD6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3176" y="43148249"/>
          <a:ext cx="2505074" cy="374357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57152</xdr:colOff>
      <xdr:row>3</xdr:row>
      <xdr:rowOff>57151</xdr:rowOff>
    </xdr:from>
    <xdr:to>
      <xdr:col>2</xdr:col>
      <xdr:colOff>3590926</xdr:colOff>
      <xdr:row>3</xdr:row>
      <xdr:rowOff>1868885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B13F3B63-76B7-4047-A23B-A56AC6D54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7" y="32385001"/>
          <a:ext cx="3533774" cy="181173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8</xdr:row>
      <xdr:rowOff>28575</xdr:rowOff>
    </xdr:from>
    <xdr:to>
      <xdr:col>2</xdr:col>
      <xdr:colOff>3609975</xdr:colOff>
      <xdr:row>8</xdr:row>
      <xdr:rowOff>3769206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5E72318B-3E48-4107-9C6D-FD564526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1" y="46958250"/>
          <a:ext cx="3562349" cy="3740631"/>
        </a:xfrm>
        <a:prstGeom prst="rect">
          <a:avLst/>
        </a:prstGeom>
      </xdr:spPr>
    </xdr:pic>
    <xdr:clientData/>
  </xdr:twoCellAnchor>
  <xdr:twoCellAnchor editAs="oneCell">
    <xdr:from>
      <xdr:col>22</xdr:col>
      <xdr:colOff>38101</xdr:colOff>
      <xdr:row>8</xdr:row>
      <xdr:rowOff>28574</xdr:rowOff>
    </xdr:from>
    <xdr:to>
      <xdr:col>26</xdr:col>
      <xdr:colOff>579121</xdr:colOff>
      <xdr:row>8</xdr:row>
      <xdr:rowOff>3752849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4B0C3D91-411C-4029-BE26-E379C4514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3601" y="46958249"/>
          <a:ext cx="2979420" cy="37242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9</xdr:row>
      <xdr:rowOff>28575</xdr:rowOff>
    </xdr:from>
    <xdr:to>
      <xdr:col>2</xdr:col>
      <xdr:colOff>3600450</xdr:colOff>
      <xdr:row>9</xdr:row>
      <xdr:rowOff>3771900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7F762-B395-4726-91BA-7FD4DECF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50768250"/>
          <a:ext cx="3562349" cy="3743325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57151</xdr:colOff>
      <xdr:row>5</xdr:row>
      <xdr:rowOff>38100</xdr:rowOff>
    </xdr:from>
    <xdr:to>
      <xdr:col>11</xdr:col>
      <xdr:colOff>2219325</xdr:colOff>
      <xdr:row>5</xdr:row>
      <xdr:rowOff>3771900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992A603C-ACB0-4CF0-8018-AFED775CB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1" y="35537775"/>
          <a:ext cx="2162174" cy="37338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6</xdr:row>
      <xdr:rowOff>28576</xdr:rowOff>
    </xdr:from>
    <xdr:to>
      <xdr:col>11</xdr:col>
      <xdr:colOff>2209800</xdr:colOff>
      <xdr:row>6</xdr:row>
      <xdr:rowOff>3762376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545BC55C-7AB7-4374-9F94-F0FBB18CC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1550" y="39338251"/>
          <a:ext cx="2133600" cy="373380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7</xdr:row>
      <xdr:rowOff>28575</xdr:rowOff>
    </xdr:from>
    <xdr:to>
      <xdr:col>11</xdr:col>
      <xdr:colOff>2238375</xdr:colOff>
      <xdr:row>7</xdr:row>
      <xdr:rowOff>3794675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556C1A0D-9C0B-40CB-B3B4-7BDC45B5F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451" y="43148250"/>
          <a:ext cx="2200274" cy="3766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28576</xdr:colOff>
      <xdr:row>8</xdr:row>
      <xdr:rowOff>91594</xdr:rowOff>
    </xdr:from>
    <xdr:to>
      <xdr:col>11</xdr:col>
      <xdr:colOff>2247900</xdr:colOff>
      <xdr:row>8</xdr:row>
      <xdr:rowOff>3762376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6316521E-FD56-4136-969F-80F86A63D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3926" y="47021269"/>
          <a:ext cx="2219324" cy="3670782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28574</xdr:colOff>
      <xdr:row>2</xdr:row>
      <xdr:rowOff>28575</xdr:rowOff>
    </xdr:from>
    <xdr:to>
      <xdr:col>11</xdr:col>
      <xdr:colOff>2247899</xdr:colOff>
      <xdr:row>2</xdr:row>
      <xdr:rowOff>2514600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86E42552-33D7-4873-A44C-D4B8B72D2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3924" y="29822775"/>
          <a:ext cx="2219325" cy="24860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15</xdr:row>
      <xdr:rowOff>38100</xdr:rowOff>
    </xdr:from>
    <xdr:to>
      <xdr:col>3</xdr:col>
      <xdr:colOff>1708203</xdr:colOff>
      <xdr:row>15</xdr:row>
      <xdr:rowOff>1118100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C74225CB-7AD3-45E9-81D4-5595B9817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6" y="57816750"/>
          <a:ext cx="1670102" cy="10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16</xdr:row>
      <xdr:rowOff>38099</xdr:rowOff>
    </xdr:from>
    <xdr:to>
      <xdr:col>3</xdr:col>
      <xdr:colOff>1683988</xdr:colOff>
      <xdr:row>16</xdr:row>
      <xdr:rowOff>1118099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E0195C1A-A7E0-4C7C-A711-254DB7CC6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58959749"/>
          <a:ext cx="1636363" cy="10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17</xdr:row>
      <xdr:rowOff>38099</xdr:rowOff>
    </xdr:from>
    <xdr:to>
      <xdr:col>3</xdr:col>
      <xdr:colOff>1704975</xdr:colOff>
      <xdr:row>17</xdr:row>
      <xdr:rowOff>1118099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D1174447-7A4F-41B4-9D0D-907DCF35A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4" y="60102749"/>
          <a:ext cx="1666876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28576</xdr:colOff>
      <xdr:row>4</xdr:row>
      <xdr:rowOff>28576</xdr:rowOff>
    </xdr:from>
    <xdr:to>
      <xdr:col>2</xdr:col>
      <xdr:colOff>3629026</xdr:colOff>
      <xdr:row>4</xdr:row>
      <xdr:rowOff>2272048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7D41CFE5-AB05-4731-88A4-E0C4B92B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6051" y="7000876"/>
          <a:ext cx="3600450" cy="2243472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10</xdr:row>
      <xdr:rowOff>104775</xdr:rowOff>
    </xdr:from>
    <xdr:to>
      <xdr:col>11</xdr:col>
      <xdr:colOff>2235552</xdr:colOff>
      <xdr:row>10</xdr:row>
      <xdr:rowOff>3733800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7979253A-0CCB-424D-8BC7-1905A0010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28432125"/>
          <a:ext cx="2206977" cy="3629025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9</xdr:row>
      <xdr:rowOff>161926</xdr:rowOff>
    </xdr:from>
    <xdr:to>
      <xdr:col>11</xdr:col>
      <xdr:colOff>2251911</xdr:colOff>
      <xdr:row>9</xdr:row>
      <xdr:rowOff>3667126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1B9066C5-67A8-4F03-B9D1-1C44DD801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0101" y="24679276"/>
          <a:ext cx="2213810" cy="35052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10</xdr:row>
      <xdr:rowOff>28575</xdr:rowOff>
    </xdr:from>
    <xdr:to>
      <xdr:col>2</xdr:col>
      <xdr:colOff>3629026</xdr:colOff>
      <xdr:row>10</xdr:row>
      <xdr:rowOff>3790951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C96BE66D-0526-44E9-AAE0-4885F9BA39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89" b="5453"/>
        <a:stretch/>
      </xdr:blipFill>
      <xdr:spPr>
        <a:xfrm>
          <a:off x="2705101" y="28546425"/>
          <a:ext cx="3581400" cy="376237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11</xdr:row>
      <xdr:rowOff>38100</xdr:rowOff>
    </xdr:from>
    <xdr:to>
      <xdr:col>2</xdr:col>
      <xdr:colOff>3629025</xdr:colOff>
      <xdr:row>11</xdr:row>
      <xdr:rowOff>3781425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BDF447D9-4059-41A5-B786-6FFA7EB29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53" b="4520"/>
        <a:stretch/>
      </xdr:blipFill>
      <xdr:spPr>
        <a:xfrm>
          <a:off x="2705100" y="32365950"/>
          <a:ext cx="3581400" cy="3743325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247650</xdr:colOff>
      <xdr:row>1</xdr:row>
      <xdr:rowOff>1990725</xdr:rowOff>
    </xdr:from>
    <xdr:to>
      <xdr:col>17</xdr:col>
      <xdr:colOff>66675</xdr:colOff>
      <xdr:row>2</xdr:row>
      <xdr:rowOff>1571625</xdr:rowOff>
    </xdr:to>
    <xdr:pic>
      <xdr:nvPicPr>
        <xdr:cNvPr id="18" name="Immagine 17">
          <a:extLst>
            <a:ext uri="{FF2B5EF4-FFF2-40B4-BE49-F238E27FC236}">
              <a16:creationId xmlns:a16="http://schemas.microsoft.com/office/drawing/2014/main" id="{52AB0B21-8AD8-C54E-C693-D75D0B5A6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87625" y="2181225"/>
          <a:ext cx="2247900" cy="2114550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</xdr:colOff>
      <xdr:row>1</xdr:row>
      <xdr:rowOff>28575</xdr:rowOff>
    </xdr:from>
    <xdr:to>
      <xdr:col>11</xdr:col>
      <xdr:colOff>2247900</xdr:colOff>
      <xdr:row>1</xdr:row>
      <xdr:rowOff>2514599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20736309-6279-BA69-5231-622A49C2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0575" y="219075"/>
          <a:ext cx="2219325" cy="24860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3252700</xdr:colOff>
      <xdr:row>47</xdr:row>
      <xdr:rowOff>95251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4A7B960C-2649-43A2-81F7-4416C96A5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41662350"/>
          <a:ext cx="3252700" cy="3714751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171450</xdr:rowOff>
    </xdr:from>
    <xdr:to>
      <xdr:col>2</xdr:col>
      <xdr:colOff>3577111</xdr:colOff>
      <xdr:row>6</xdr:row>
      <xdr:rowOff>3695700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51C1F3D0-8AF7-E2AB-1346-8B698FA42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3449300"/>
          <a:ext cx="3500911" cy="35242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</xdr:colOff>
      <xdr:row>13</xdr:row>
      <xdr:rowOff>708660</xdr:rowOff>
    </xdr:from>
    <xdr:to>
      <xdr:col>3</xdr:col>
      <xdr:colOff>190500</xdr:colOff>
      <xdr:row>13</xdr:row>
      <xdr:rowOff>3436620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DA8933FE-F706-7CD1-8265-B1C78E0BB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2941" b="73333"/>
        <a:stretch/>
      </xdr:blipFill>
      <xdr:spPr>
        <a:xfrm>
          <a:off x="2781299" y="36842700"/>
          <a:ext cx="3916681" cy="272796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</xdr:colOff>
      <xdr:row>12</xdr:row>
      <xdr:rowOff>129540</xdr:rowOff>
    </xdr:from>
    <xdr:to>
      <xdr:col>2</xdr:col>
      <xdr:colOff>3733800</xdr:colOff>
      <xdr:row>12</xdr:row>
      <xdr:rowOff>3663315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4004433B-C752-8B05-38A2-2619137B2F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1" r="26915"/>
        <a:stretch/>
      </xdr:blipFill>
      <xdr:spPr>
        <a:xfrm>
          <a:off x="2781300" y="36263580"/>
          <a:ext cx="3688080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A3510-2996-4BF3-B6E9-382945492F66}">
  <sheetPr codeName="Foglio7"/>
  <dimension ref="A1:BK125"/>
  <sheetViews>
    <sheetView showGridLines="0" showRowColHeaders="0" tabSelected="1" zoomScale="119" zoomScaleNormal="119" zoomScaleSheetLayoutView="123" workbookViewId="0">
      <selection activeCell="P2" sqref="P2:AD2"/>
    </sheetView>
  </sheetViews>
  <sheetFormatPr defaultRowHeight="14.4" x14ac:dyDescent="0.3"/>
  <cols>
    <col min="1" max="1" width="25.33203125" customWidth="1"/>
    <col min="2" max="4" width="3.6640625" customWidth="1"/>
    <col min="5" max="8" width="3.5546875" customWidth="1"/>
    <col min="9" max="9" width="0.88671875" customWidth="1"/>
    <col min="10" max="15" width="2.88671875" customWidth="1"/>
    <col min="16" max="16" width="0.88671875" customWidth="1"/>
    <col min="17" max="18" width="2.88671875" customWidth="1"/>
    <col min="19" max="19" width="1.6640625" customWidth="1"/>
    <col min="20" max="20" width="3.33203125" customWidth="1"/>
    <col min="21" max="22" width="2.88671875" customWidth="1"/>
    <col min="23" max="23" width="0.88671875" customWidth="1"/>
    <col min="24" max="26" width="2.88671875" customWidth="1"/>
    <col min="27" max="27" width="3.6640625" customWidth="1"/>
    <col min="28" max="28" width="4.44140625" customWidth="1"/>
    <col min="29" max="29" width="2.88671875" customWidth="1"/>
    <col min="30" max="30" width="0.88671875" customWidth="1"/>
    <col min="31" max="31" width="5.5546875" customWidth="1"/>
    <col min="32" max="32" width="3.33203125" customWidth="1"/>
    <col min="33" max="34" width="2.44140625" customWidth="1"/>
    <col min="35" max="35" width="2" customWidth="1"/>
    <col min="36" max="36" width="1.88671875" customWidth="1"/>
    <col min="37" max="37" width="0.88671875" customWidth="1"/>
    <col min="38" max="43" width="2.88671875" customWidth="1"/>
    <col min="44" max="46" width="6.6640625" customWidth="1"/>
    <col min="47" max="47" width="5.33203125" customWidth="1"/>
  </cols>
  <sheetData>
    <row r="1" spans="1:63" x14ac:dyDescent="0.3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</row>
    <row r="2" spans="1:63" ht="15" customHeight="1" x14ac:dyDescent="0.3">
      <c r="A2" s="106"/>
      <c r="J2" s="212" t="s">
        <v>88</v>
      </c>
      <c r="K2" s="212"/>
      <c r="L2" s="212"/>
      <c r="M2" s="212"/>
      <c r="N2" s="212"/>
      <c r="O2" s="212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212" t="s">
        <v>28</v>
      </c>
      <c r="AF2" s="212"/>
      <c r="AG2" s="212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97"/>
      <c r="AT2" s="227"/>
      <c r="AU2" s="227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</row>
    <row r="3" spans="1:63" ht="15" customHeight="1" x14ac:dyDescent="0.3">
      <c r="A3" s="106"/>
      <c r="J3" s="276" t="s">
        <v>157</v>
      </c>
      <c r="K3" s="276"/>
      <c r="L3" s="276"/>
      <c r="M3" s="276"/>
      <c r="N3" s="276"/>
      <c r="O3" s="276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55" t="s">
        <v>144</v>
      </c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146"/>
      <c r="AS3" s="146"/>
      <c r="AT3" s="146"/>
      <c r="AU3" s="14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</row>
    <row r="4" spans="1:63" ht="15" customHeight="1" x14ac:dyDescent="0.3">
      <c r="A4" s="106"/>
      <c r="B4" s="86"/>
      <c r="C4" s="86"/>
      <c r="D4" s="83"/>
      <c r="E4" s="83"/>
      <c r="F4" s="83"/>
      <c r="G4" s="83"/>
      <c r="H4" s="83"/>
      <c r="I4" s="83"/>
      <c r="J4" s="217" t="s">
        <v>89</v>
      </c>
      <c r="K4" s="217"/>
      <c r="L4" s="217"/>
      <c r="M4" s="217"/>
      <c r="N4" s="217"/>
      <c r="O4" s="217"/>
      <c r="P4" s="126"/>
      <c r="Q4" s="203"/>
      <c r="R4" s="203"/>
      <c r="S4" s="203"/>
      <c r="T4" s="203"/>
      <c r="U4" s="203"/>
      <c r="V4" s="203"/>
      <c r="W4" s="204"/>
      <c r="X4" s="203"/>
      <c r="Y4" s="203"/>
      <c r="Z4" s="203"/>
      <c r="AA4" s="203"/>
      <c r="AB4" s="203"/>
      <c r="AC4" s="203"/>
      <c r="AD4" s="204"/>
      <c r="AE4" s="203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146"/>
      <c r="AS4" s="146"/>
      <c r="AT4" s="146"/>
      <c r="AU4" s="146"/>
      <c r="AV4" s="106"/>
      <c r="AW4" s="109"/>
      <c r="AX4" s="109"/>
      <c r="AY4" s="109"/>
      <c r="AZ4" s="109"/>
      <c r="BA4" s="109"/>
      <c r="BB4" s="109"/>
      <c r="BC4" s="106"/>
      <c r="BD4" s="106"/>
      <c r="BE4" s="106"/>
      <c r="BF4" s="106"/>
      <c r="BG4" s="106"/>
      <c r="BH4" s="106"/>
      <c r="BI4" s="106"/>
      <c r="BJ4" s="106"/>
    </row>
    <row r="5" spans="1:63" ht="12" customHeight="1" x14ac:dyDescent="0.3">
      <c r="A5" s="106"/>
      <c r="B5" s="211" t="s">
        <v>133</v>
      </c>
      <c r="C5" s="211"/>
      <c r="D5" s="211"/>
      <c r="E5" s="211"/>
      <c r="F5" s="211"/>
      <c r="G5" s="211"/>
      <c r="H5" s="114" t="s">
        <v>134</v>
      </c>
      <c r="I5" s="73"/>
      <c r="J5" s="252"/>
      <c r="K5" s="253"/>
      <c r="L5" s="253"/>
      <c r="M5" s="253"/>
      <c r="N5" s="253"/>
      <c r="O5" s="254"/>
      <c r="Q5" s="205"/>
      <c r="R5" s="206"/>
      <c r="S5" s="206"/>
      <c r="T5" s="206"/>
      <c r="U5" s="206"/>
      <c r="V5" s="207"/>
      <c r="X5" s="205"/>
      <c r="Y5" s="206"/>
      <c r="Z5" s="206"/>
      <c r="AA5" s="206"/>
      <c r="AB5" s="206"/>
      <c r="AC5" s="207"/>
      <c r="AE5" s="205"/>
      <c r="AF5" s="206"/>
      <c r="AG5" s="206"/>
      <c r="AH5" s="206"/>
      <c r="AI5" s="206"/>
      <c r="AJ5" s="207"/>
      <c r="AK5" s="133"/>
      <c r="AL5" s="208"/>
      <c r="AM5" s="209"/>
      <c r="AN5" s="209"/>
      <c r="AO5" s="209"/>
      <c r="AP5" s="209"/>
      <c r="AQ5" s="210"/>
      <c r="AR5" s="146"/>
      <c r="AS5" s="146"/>
      <c r="AT5" s="146"/>
      <c r="AU5" s="14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>
        <f>IFERROR(SEARCHB("MEC",$Q$4),0)</f>
        <v>0</v>
      </c>
    </row>
    <row r="6" spans="1:63" ht="14.1" customHeight="1" x14ac:dyDescent="0.3">
      <c r="A6" s="106"/>
      <c r="B6" s="213" t="str">
        <f>IF(OR($Q$4="incasso inclinata rift",$Q$4="INCASSO INCLINATA MEC 4",$Q$4="SPORGENTE INCLINATA MEC 3 profilo GRIGIO",$Q$4="SPORGENTE INCLINATA MEC 3 profilo NERO"),"lato alimentazione :","")</f>
        <v/>
      </c>
      <c r="C6" s="213"/>
      <c r="D6" s="213"/>
      <c r="E6" s="213"/>
      <c r="F6" s="213"/>
      <c r="G6" s="213"/>
      <c r="H6" s="213"/>
      <c r="I6" s="76"/>
      <c r="J6" s="214"/>
      <c r="K6" s="215"/>
      <c r="L6" s="215"/>
      <c r="M6" s="215"/>
      <c r="N6" s="215"/>
      <c r="O6" s="216"/>
      <c r="Q6" s="214"/>
      <c r="R6" s="215"/>
      <c r="S6" s="215"/>
      <c r="T6" s="215"/>
      <c r="U6" s="215"/>
      <c r="V6" s="216"/>
      <c r="X6" s="214"/>
      <c r="Y6" s="215"/>
      <c r="Z6" s="215"/>
      <c r="AA6" s="215"/>
      <c r="AB6" s="215"/>
      <c r="AC6" s="216"/>
      <c r="AE6" s="214"/>
      <c r="AF6" s="215"/>
      <c r="AG6" s="215"/>
      <c r="AH6" s="215"/>
      <c r="AI6" s="215"/>
      <c r="AJ6" s="216"/>
      <c r="AL6" s="214"/>
      <c r="AM6" s="215"/>
      <c r="AN6" s="215"/>
      <c r="AO6" s="215"/>
      <c r="AP6" s="215"/>
      <c r="AQ6" s="216"/>
      <c r="AR6" s="146"/>
      <c r="AS6" s="146"/>
      <c r="AT6" s="146"/>
      <c r="AU6" s="14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</row>
    <row r="7" spans="1:63" ht="14.1" customHeight="1" x14ac:dyDescent="0.3">
      <c r="A7" s="106"/>
      <c r="B7" s="245" t="s">
        <v>90</v>
      </c>
      <c r="C7" s="245"/>
      <c r="D7" s="245"/>
      <c r="E7" s="245"/>
      <c r="F7" s="245"/>
      <c r="G7" s="245"/>
      <c r="H7" s="245"/>
      <c r="I7" s="105"/>
      <c r="J7" s="218"/>
      <c r="K7" s="219"/>
      <c r="L7" s="219"/>
      <c r="M7" s="219"/>
      <c r="N7" s="219"/>
      <c r="O7" s="220"/>
      <c r="P7" s="127"/>
      <c r="Q7" s="218"/>
      <c r="R7" s="219"/>
      <c r="S7" s="219"/>
      <c r="T7" s="219"/>
      <c r="U7" s="219"/>
      <c r="V7" s="220"/>
      <c r="W7" s="132"/>
      <c r="X7" s="218"/>
      <c r="Y7" s="219"/>
      <c r="Z7" s="219"/>
      <c r="AA7" s="219"/>
      <c r="AB7" s="219"/>
      <c r="AC7" s="220"/>
      <c r="AD7" s="132"/>
      <c r="AE7" s="218"/>
      <c r="AF7" s="219"/>
      <c r="AG7" s="219"/>
      <c r="AH7" s="219"/>
      <c r="AI7" s="219"/>
      <c r="AJ7" s="220"/>
      <c r="AK7" s="132"/>
      <c r="AL7" s="218"/>
      <c r="AM7" s="219"/>
      <c r="AN7" s="219"/>
      <c r="AO7" s="219"/>
      <c r="AP7" s="219"/>
      <c r="AQ7" s="220"/>
      <c r="AR7" s="146"/>
      <c r="AS7" s="146"/>
      <c r="AT7" s="146"/>
      <c r="AU7" s="14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</row>
    <row r="8" spans="1:63" ht="14.1" customHeight="1" x14ac:dyDescent="0.3">
      <c r="A8" s="106"/>
      <c r="B8" s="202" t="s">
        <v>91</v>
      </c>
      <c r="C8" s="202"/>
      <c r="D8" s="202"/>
      <c r="E8" s="202"/>
      <c r="F8" s="202"/>
      <c r="G8" s="202"/>
      <c r="H8" s="202"/>
      <c r="I8" s="76"/>
      <c r="J8" s="201"/>
      <c r="K8" s="197"/>
      <c r="L8" s="197"/>
      <c r="M8" s="197"/>
      <c r="N8" s="197"/>
      <c r="O8" s="198"/>
      <c r="P8" s="80"/>
      <c r="Q8" s="201"/>
      <c r="R8" s="197"/>
      <c r="S8" s="197"/>
      <c r="T8" s="197"/>
      <c r="U8" s="197"/>
      <c r="V8" s="198"/>
      <c r="X8" s="201"/>
      <c r="Y8" s="197"/>
      <c r="Z8" s="197"/>
      <c r="AA8" s="197"/>
      <c r="AB8" s="197"/>
      <c r="AC8" s="198"/>
      <c r="AE8" s="201"/>
      <c r="AF8" s="197"/>
      <c r="AG8" s="197"/>
      <c r="AH8" s="197"/>
      <c r="AI8" s="197"/>
      <c r="AJ8" s="198"/>
      <c r="AL8" s="201"/>
      <c r="AM8" s="197"/>
      <c r="AN8" s="197"/>
      <c r="AO8" s="197"/>
      <c r="AP8" s="197"/>
      <c r="AQ8" s="198"/>
      <c r="AR8" s="146"/>
      <c r="AS8" s="146"/>
      <c r="AT8" s="146"/>
      <c r="AU8" s="14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</row>
    <row r="9" spans="1:63" ht="14.1" customHeight="1" x14ac:dyDescent="0.3">
      <c r="A9" s="106"/>
      <c r="B9" s="202" t="str">
        <f>IF(OR($Q$4="JL COB incasso",$Q$4="INCASSO DRITTA MEC 2",$Q$4="INCASSO DRITTA LINIE"),"","CON TAPPI DI CHIUSURA :")</f>
        <v>CON TAPPI DI CHIUSURA :</v>
      </c>
      <c r="C9" s="202"/>
      <c r="D9" s="202"/>
      <c r="E9" s="202"/>
      <c r="F9" s="202"/>
      <c r="G9" s="202"/>
      <c r="H9" s="202"/>
      <c r="I9" s="76"/>
      <c r="J9" s="201"/>
      <c r="K9" s="197"/>
      <c r="L9" s="197"/>
      <c r="M9" s="197"/>
      <c r="N9" s="197"/>
      <c r="O9" s="198"/>
      <c r="P9" s="128"/>
      <c r="Q9" s="201"/>
      <c r="R9" s="197"/>
      <c r="S9" s="197"/>
      <c r="T9" s="197"/>
      <c r="U9" s="197"/>
      <c r="V9" s="198"/>
      <c r="X9" s="201"/>
      <c r="Y9" s="197"/>
      <c r="Z9" s="197"/>
      <c r="AA9" s="197"/>
      <c r="AB9" s="197"/>
      <c r="AC9" s="198"/>
      <c r="AE9" s="201"/>
      <c r="AF9" s="197"/>
      <c r="AG9" s="197"/>
      <c r="AH9" s="197"/>
      <c r="AI9" s="197"/>
      <c r="AJ9" s="198"/>
      <c r="AL9" s="201"/>
      <c r="AM9" s="197"/>
      <c r="AN9" s="197"/>
      <c r="AO9" s="197"/>
      <c r="AP9" s="197"/>
      <c r="AQ9" s="198"/>
      <c r="AR9" s="146"/>
      <c r="AS9" s="146"/>
      <c r="AT9" s="146"/>
      <c r="AU9" s="14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</row>
    <row r="10" spans="1:63" ht="14.1" customHeight="1" x14ac:dyDescent="0.3">
      <c r="A10" s="106"/>
      <c r="B10" s="202" t="s">
        <v>92</v>
      </c>
      <c r="C10" s="202"/>
      <c r="D10" s="202"/>
      <c r="E10" s="202"/>
      <c r="F10" s="202"/>
      <c r="G10" s="202"/>
      <c r="H10" s="202"/>
      <c r="I10" s="76"/>
      <c r="J10" s="201"/>
      <c r="K10" s="197"/>
      <c r="L10" s="197"/>
      <c r="M10" s="197"/>
      <c r="N10" s="197"/>
      <c r="O10" s="198"/>
      <c r="P10" s="128"/>
      <c r="Q10" s="201"/>
      <c r="R10" s="197"/>
      <c r="S10" s="197"/>
      <c r="T10" s="197"/>
      <c r="U10" s="197"/>
      <c r="V10" s="198"/>
      <c r="X10" s="201"/>
      <c r="Y10" s="197"/>
      <c r="Z10" s="197"/>
      <c r="AA10" s="197"/>
      <c r="AB10" s="197"/>
      <c r="AC10" s="198"/>
      <c r="AE10" s="201"/>
      <c r="AF10" s="197"/>
      <c r="AG10" s="197"/>
      <c r="AH10" s="197"/>
      <c r="AI10" s="197"/>
      <c r="AJ10" s="198"/>
      <c r="AL10" s="201"/>
      <c r="AM10" s="197"/>
      <c r="AN10" s="197"/>
      <c r="AO10" s="197"/>
      <c r="AP10" s="197"/>
      <c r="AQ10" s="198"/>
      <c r="AR10" s="146"/>
      <c r="AS10" s="146"/>
      <c r="AT10" s="146"/>
      <c r="AU10" s="14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</row>
    <row r="11" spans="1:63" ht="14.1" customHeight="1" x14ac:dyDescent="0.3">
      <c r="A11" s="106"/>
      <c r="B11" s="202" t="s">
        <v>93</v>
      </c>
      <c r="C11" s="202"/>
      <c r="D11" s="202"/>
      <c r="E11" s="202"/>
      <c r="F11" s="202"/>
      <c r="G11" s="202"/>
      <c r="H11" s="202"/>
      <c r="I11" s="76"/>
      <c r="J11" s="201"/>
      <c r="K11" s="197"/>
      <c r="L11" s="197"/>
      <c r="M11" s="197"/>
      <c r="N11" s="197"/>
      <c r="O11" s="198"/>
      <c r="P11" s="128"/>
      <c r="Q11" s="201"/>
      <c r="R11" s="197"/>
      <c r="S11" s="197"/>
      <c r="T11" s="197"/>
      <c r="U11" s="197"/>
      <c r="V11" s="198"/>
      <c r="X11" s="201"/>
      <c r="Y11" s="197"/>
      <c r="Z11" s="197"/>
      <c r="AA11" s="197"/>
      <c r="AB11" s="197"/>
      <c r="AC11" s="198"/>
      <c r="AE11" s="201"/>
      <c r="AF11" s="197"/>
      <c r="AG11" s="197"/>
      <c r="AH11" s="197"/>
      <c r="AI11" s="197"/>
      <c r="AJ11" s="198"/>
      <c r="AL11" s="201"/>
      <c r="AM11" s="197"/>
      <c r="AN11" s="197"/>
      <c r="AO11" s="197"/>
      <c r="AP11" s="197"/>
      <c r="AQ11" s="198"/>
      <c r="AR11" s="146"/>
      <c r="AS11" s="146"/>
      <c r="AT11" s="146"/>
      <c r="AU11" s="14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</row>
    <row r="12" spans="1:63" ht="14.1" customHeight="1" x14ac:dyDescent="0.3">
      <c r="A12" s="106"/>
      <c r="B12" s="202" t="s">
        <v>94</v>
      </c>
      <c r="C12" s="202"/>
      <c r="D12" s="202"/>
      <c r="E12" s="202"/>
      <c r="F12" s="202"/>
      <c r="G12" s="202"/>
      <c r="H12" s="202"/>
      <c r="I12" s="76"/>
      <c r="J12" s="199" t="str">
        <f>IF(AND($Q$4="INCASSO INCLINATA RIFT",J$9="SI"),J$11-8,IF(AND($Q$4="INCASSO INCLINATA RIFT",J$9="NO"),J$11,IF(AND($Q$4="INCASSO DRITTA LINIE",J$11&lt;&gt;""),J$11,IF(AND($Q$4="INCASSO INCLINATA MEC 4",J$9="SI",J$10="IR INTEGRATO"),J$11-21-90&amp;"+90",IF(AND($Q$4="INCASSO INCLINATA MEC 4",J$9="NO",J$10="IR INTEGRATO"),J$11-90&amp;"+90",IF(AND($Q$4="SPORGENTE DRITTA MEC 1 profilo GRIGIO",J$9="SI",J$10="IR INTEGRATO"),J$11-5-90&amp;"+90",IF(AND($Q$4="SPORGENTE DRITTA MEC 1 profilo GRIGIO",J$9="NO",J$10="IR INTEGRATO"),J$11-90&amp;"+90",IF(AND($Q$4="SPORGENTE INCLINATA MEC 3 profilo GRIGIO",J$9="SI",J$10="IR INTEGRATO"),J$11-5-90&amp;"+90",IF(AND($Q$4="SPORGENTE INCLINATA MEC 3 profilo GRIGIO",J$9="NO",J$10="IR INTEGRATO"),J$11-90&amp;"+90",IF(AND($Q$4="SPORGENTE DRITTA MEC 1 profilo NERO",J$9="SI",J$10="IR INTEGRATO"),J$11-5-90&amp;"+90",IF(AND($Q$4="SPORGENTE DRITTA MEC 1 profilo NERO",J$9="NO",J$10="IR INTEGRATO"),J$11-90&amp;"+90",IF(AND($Q$4="SPORGENTE INCLINATA MEC 3 profilo NERO",J$9="SI",J$10="IR INTEGRATO"),J$11-5-90&amp;"+90",IF(AND($Q$4="SPORGENTE INCLINATA MEC 3 profilo NERO",J$9="NO",J$10="IR INTEGRATO"),J$11-90&amp;"+90",IF(AND($Q$4="INCASSO DRITTA MEC 2",J$10="IR INTEGRATO"),J11-90&amp;"+90",IF(AND($Q$4="INCASSO INCLINATA MEC 4",J$9="SI",J$10="PIR INTEGRATO"),J$11-21-90&amp;"+90",IF(AND($Q$4="INCASSO INCLINATA MEC 4",J$9="NO",J$10="PIR INTEGRATO"),J$11-90&amp;"+90",IF(AND($Q$4="SPORGENTE DRITTA MEC 1 profilo GRIGIO",J$9="SI",J$10="PIR INTEGRATO"),J$11-5-90&amp;"+90",IF(AND($Q$4="SPORGENTE DRITTA MEC 1 profilo GRIGIO",J$9="NO",J$10="PIR INTEGRATO"),J$11-90&amp;"+90",IF(AND($Q$4="SPORGENTE INCLINATA MEC 3 profilo GRIGIO",J$9="SI",J$10="PIR INTEGRATO"),J$11-5-90&amp;"+90",IF(AND($Q$4="SPORGENTE INCLINATA MEC 3 profilo GRIGIO",J$9="NO",J$10="PIR INTEGRATO"),J$11-90&amp;"+90",IF(AND($Q$4="SPORGENTE DRITTA MEC 1 profilo NERO",J$9="SI",J$10="PIR INTEGRATO"),J$11-5-90&amp;"+90",IF(AND($Q$4="SPORGENTE DRITTA MEC 1 profilo NERO",J$9="NO",J$10="PIR INTEGRATO"),J$11-90&amp;"+90",IF(AND($Q$4="SPORGENTE INCLINATA MEC 3 profilo NERO",J$9="SI",J$10="PIR INTEGRATO"),J$11-5-90&amp;"+90",IF(AND($Q$4="SPORGENTE INCLINATA MEC 3 profilo NERO",J$9="NO",J$10="PIR INTEGRATO"),J$11-90&amp;"+90",IF(AND($Q$4="INCASSO DRITTA MEC 2",J$10="PIR INTEGRATO"),J11-90&amp;"+90",IF(AND($Q$4="INCASSO INCLINATA MEC 4",J$9="SI"),J$11-21,IF(AND($Q$4="INCASSO INCLINATA MEC 4",J$9="NO"),J$11,IF(AND($Q$4="SPORGENTE DRITTA MEC 1 profilo GRIGIO",J$9="SI"),J$11-5,IF(AND($Q$4="SPORGENTE DRITTA MEC 1 profilo GRIGIO",J$9="NO"),J$11,IF(AND($Q$4="SPORGENTE INCLINATA MEC 3 profilo GRIGIO",J$9="SI"),J$11-5,IF(AND($Q$4="SPORGENTE INCLINATA MEC 3 profilo GRIGIO",J$9="NO"),J$11,IF(AND($Q$4="SPORGENTE DRITTA MEC 1 profilo NERO",J$9="SI"),J$11-5,IF(AND($Q$4="SPORGENTE DRITTA MEC 1 profilo NERO",J$9="NO"),J$11,IF(AND($Q$4="SPORGENTE INCLINATA MEC 3 profilo NERO",J$9="SI"),J$11-5,IF(AND($Q$4="SPORGENTE INCLINATA MEC 3 profilo NERO",J$9="NO"),J$11,IF(AND($Q$4="INCASSO DRITTA MEC 2",J$11&lt;&gt;""),J11,IF(AND($Q$4="JL COB esterna",J$9="SI",J$11&lt;&gt;""),J$11-4,IF(AND($Q$4="JL COB esterna",J$9="NO",J$11&lt;&gt;""),J$11,IF(AND($Q$4="JL COB incasso",J$11&lt;&gt;""),J$11,"")))))))))))))))))))))))))))))))))))))))</f>
        <v/>
      </c>
      <c r="K12" s="200"/>
      <c r="L12" s="200"/>
      <c r="M12" s="197"/>
      <c r="N12" s="197"/>
      <c r="O12" s="198"/>
      <c r="P12" s="128"/>
      <c r="Q12" s="199" t="str">
        <f>IF(AND($Q$4="INCASSO INCLINATA RIFT",Q$9="SI"),Q$11-8,IF(AND($Q$4="INCASSO INCLINATA RIFT",Q$9="NO"),Q$11,IF(AND($Q$4="INCASSO DRITTA LINIE",Q$11&lt;&gt;""),Q$11,IF(AND($Q$4="INCASSO INCLINATA MEC 4",Q$9="SI",Q$10="IR INTEGRATO"),Q$11-21-90&amp;"+90",IF(AND($Q$4="INCASSO INCLINATA MEC 4",Q$9="NO",Q$10="IR INTEGRATO"),Q$11-90&amp;"+90",IF(AND($Q$4="SPORGENTE DRITTA MEC 1 profilo GRIGIO",Q$9="SI",Q$10="IR INTEGRATO"),Q$11-5-90&amp;"+90",IF(AND($Q$4="SPORGENTE DRITTA MEC 1 profilo GRIGIO",Q$9="NO",Q$10="IR INTEGRATO"),Q$11-90&amp;"+90",IF(AND($Q$4="SPORGENTE INCLINATA MEC 3 profilo GRIGIO",Q$9="SI",Q$10="IR INTEGRATO"),Q$11-5-90&amp;"+90",IF(AND($Q$4="SPORGENTE INCLINATA MEC 3 profilo GRIGIO",Q$9="NO",Q$10="IR INTEGRATO"),Q$11-90&amp;"+90",IF(AND($Q$4="SPORGENTE DRITTA MEC 1 profilo NERO",Q$9="SI",Q$10="IR INTEGRATO"),Q$11-5-90&amp;"+90",IF(AND($Q$4="SPORGENTE DRITTA MEC 1 profilo NERO",Q$9="NO",Q$10="IR INTEGRATO"),Q$11-90&amp;"+90",IF(AND($Q$4="SPORGENTE INCLINATA MEC 3 profilo NERO",Q$9="SI",Q$10="IR INTEGRATO"),Q$11-5-90&amp;"+90",IF(AND($Q$4="SPORGENTE INCLINATA MEC 3 profilo NERO",Q$9="NO",Q$10="IR INTEGRATO"),Q$11-90&amp;"+90",IF(AND($Q$4="INCASSO DRITTA MEC 2",Q$10="IR INTEGRATO"),Q11-90&amp;"+90",IF(AND($Q$4="INCASSO INCLINATA MEC 4",Q$9="SI",Q$10="PIR INTEGRATO"),Q$11-21-90&amp;"+90",IF(AND($Q$4="INCASSO INCLINATA MEC 4",Q$9="NO",Q$10="PIR INTEGRATO"),Q$11-90&amp;"+90",IF(AND($Q$4="SPORGENTE DRITTA MEC 1 profilo GRIGIO",Q$9="SI",Q$10="PIR INTEGRATO"),Q$11-5-90&amp;"+90",IF(AND($Q$4="SPORGENTE DRITTA MEC 1 profilo GRIGIO",Q$9="NO",Q$10="PIR INTEGRATO"),Q$11-90&amp;"+90",IF(AND($Q$4="SPORGENTE INCLINATA MEC 3 profilo GRIGIO",Q$9="SI",Q$10="PIR INTEGRATO"),Q$11-5-90&amp;"+90",IF(AND($Q$4="SPORGENTE INCLINATA MEC 3 profilo GRIGIO",Q$9="NO",Q$10="PIR INTEGRATO"),Q$11-90&amp;"+90",IF(AND($Q$4="SPORGENTE DRITTA MEC 1 profilo NERO",Q$9="SI",Q$10="PIR INTEGRATO"),Q$11-5-90&amp;"+90",IF(AND($Q$4="SPORGENTE DRITTA MEC 1 profilo NERO",Q$9="NO",Q$10="PIR INTEGRATO"),Q$11-90&amp;"+90",IF(AND($Q$4="SPORGENTE INCLINATA MEC 3 profilo NERO",Q$9="SI",Q$10="PIR INTEGRATO"),Q$11-5-90&amp;"+90",IF(AND($Q$4="SPORGENTE INCLINATA MEC 3 profilo NERO",Q$9="NO",Q$10="PIR INTEGRATO"),Q$11-90&amp;"+90",IF(AND($Q$4="INCASSO DRITTA MEC 2",Q$10="PIR INTEGRATO"),Q11-90&amp;"+90",IF(AND($Q$4="INCASSO INCLINATA MEC 4",Q$9="SI"),Q$11-21,IF(AND($Q$4="INCASSO INCLINATA MEC 4",Q$9="NO"),Q$11,IF(AND($Q$4="SPORGENTE DRITTA MEC 1 profilo GRIGIO",Q$9="SI"),Q$11-5,IF(AND($Q$4="SPORGENTE DRITTA MEC 1 profilo GRIGIO",Q$9="NO"),Q$11,IF(AND($Q$4="SPORGENTE INCLINATA MEC 3 profilo GRIGIO",Q$9="SI"),Q$11-5,IF(AND($Q$4="SPORGENTE INCLINATA MEC 3 profilo GRIGIO",Q$9="NO"),Q$11,IF(AND($Q$4="SPORGENTE DRITTA MEC 1 profilo NERO",Q$9="SI"),Q$11-5,IF(AND($Q$4="SPORGENTE DRITTA MEC 1 profilo NERO",Q$9="NO"),Q$11,IF(AND($Q$4="SPORGENTE INCLINATA MEC 3 profilo NERO",Q$9="SI"),Q$11-5,IF(AND($Q$4="SPORGENTE INCLINATA MEC 3 profilo NERO",Q$9="NO"),Q$11,IF(AND($Q$4="INCASSO DRITTA MEC 2",Q$11&lt;&gt;""),Q11,IF(AND($Q$4="JL COB esterna",Q$9="SI",Q$11&lt;&gt;""),Q$11-4,IF(AND($Q$4="JL COB esterna",Q$9="NO",Q$11&lt;&gt;""),Q$11,IF(AND($Q$4="JL COB incasso",Q$11&lt;&gt;""),Q$11,"")))))))))))))))))))))))))))))))))))))))</f>
        <v/>
      </c>
      <c r="R12" s="200"/>
      <c r="S12" s="200"/>
      <c r="T12" s="197"/>
      <c r="U12" s="197"/>
      <c r="V12" s="198"/>
      <c r="X12" s="199" t="str">
        <f>IF(AND($Q$4="INCASSO INCLINATA RIFT",X$9="SI"),X$11-8,IF(AND($Q$4="INCASSO INCLINATA RIFT",X$9="NO"),X$11,IF(AND($Q$4="INCASSO DRITTA LINIE",X$11&lt;&gt;""),X$11,IF(AND($Q$4="INCASSO INCLINATA MEC 4",X$9="SI",X$10="IR INTEGRATO"),X$11-21-90&amp;"+90",IF(AND($Q$4="INCASSO INCLINATA MEC 4",X$9="NO",X$10="IR INTEGRATO"),X$11-90&amp;"+90",IF(AND($Q$4="SPORGENTE DRITTA MEC 1 profilo GRIGIO",X$9="SI",X$10="IR INTEGRATO"),X$11-5-90&amp;"+90",IF(AND($Q$4="SPORGENTE DRITTA MEC 1 profilo GRIGIO",X$9="NO",X$10="IR INTEGRATO"),X$11-90&amp;"+90",IF(AND($Q$4="SPORGENTE INCLINATA MEC 3 profilo GRIGIO",X$9="SI",X$10="IR INTEGRATO"),X$11-5-90&amp;"+90",IF(AND($Q$4="SPORGENTE INCLINATA MEC 3 profilo GRIGIO",X$9="NO",X$10="IR INTEGRATO"),X$11-90&amp;"+90",IF(AND($Q$4="SPORGENTE DRITTA MEC 1 profilo NERO",X$9="SI",X$10="IR INTEGRATO"),X$11-5-90&amp;"+90",IF(AND($Q$4="SPORGENTE DRITTA MEC 1 profilo NERO",X$9="NO",X$10="IR INTEGRATO"),X$11-90&amp;"+90",IF(AND($Q$4="SPORGENTE INCLINATA MEC 3 profilo NERO",X$9="SI",X$10="IR INTEGRATO"),X$11-5-90&amp;"+90",IF(AND($Q$4="SPORGENTE INCLINATA MEC 3 profilo NERO",X$9="NO",X$10="IR INTEGRATO"),X$11-90&amp;"+90",IF(AND($Q$4="INCASSO DRITTA MEC 2",X$10="IR INTEGRATO"),X11-90&amp;"+90",IF(AND($Q$4="INCASSO INCLINATA MEC 4",X$9="SI",X$10="PIR INTEGRATO"),X$11-21-90&amp;"+90",IF(AND($Q$4="INCASSO INCLINATA MEC 4",X$9="NO",X$10="PIR INTEGRATO"),X$11-90&amp;"+90",IF(AND($Q$4="SPORGENTE DRITTA MEC 1 profilo GRIGIO",X$9="SI",X$10="PIR INTEGRATO"),X$11-5-90&amp;"+90",IF(AND($Q$4="SPORGENTE DRITTA MEC 1 profilo GRIGIO",X$9="NO",X$10="PIR INTEGRATO"),X$11-90&amp;"+90",IF(AND($Q$4="SPORGENTE INCLINATA MEC 3 profilo GRIGIO",X$9="SI",X$10="PIR INTEGRATO"),X$11-5-90&amp;"+90",IF(AND($Q$4="SPORGENTE INCLINATA MEC 3 profilo GRIGIO",X$9="NO",X$10="PIR INTEGRATO"),X$11-90&amp;"+90",IF(AND($Q$4="SPORGENTE DRITTA MEC 1 profilo NERO",X$9="SI",X$10="PIR INTEGRATO"),X$11-5-90&amp;"+90",IF(AND($Q$4="SPORGENTE DRITTA MEC 1 profilo NERO",X$9="NO",X$10="PIR INTEGRATO"),X$11-90&amp;"+90",IF(AND($Q$4="SPORGENTE INCLINATA MEC 3 profilo NERO",X$9="SI",X$10="PIR INTEGRATO"),X$11-5-90&amp;"+90",IF(AND($Q$4="SPORGENTE INCLINATA MEC 3 profilo NERO",X$9="NO",X$10="PIR INTEGRATO"),X$11-90&amp;"+90",IF(AND($Q$4="INCASSO DRITTA MEC 2",X$10="PIR INTEGRATO"),X11-90&amp;"+90",IF(AND($Q$4="INCASSO INCLINATA MEC 4",X$9="SI"),X$11-21,IF(AND($Q$4="INCASSO INCLINATA MEC 4",X$9="NO"),X$11,IF(AND($Q$4="SPORGENTE DRITTA MEC 1 profilo GRIGIO",X$9="SI"),X$11-5,IF(AND($Q$4="SPORGENTE DRITTA MEC 1 profilo GRIGIO",X$9="NO"),X$11,IF(AND($Q$4="SPORGENTE INCLINATA MEC 3 profilo GRIGIO",X$9="SI"),X$11-5,IF(AND($Q$4="SPORGENTE INCLINATA MEC 3 profilo GRIGIO",X$9="NO"),X$11,IF(AND($Q$4="SPORGENTE DRITTA MEC 1 profilo NERO",X$9="SI"),X$11-5,IF(AND($Q$4="SPORGENTE DRITTA MEC 1 profilo NERO",X$9="NO"),X$11,IF(AND($Q$4="SPORGENTE INCLINATA MEC 3 profilo NERO",X$9="SI"),X$11-5,IF(AND($Q$4="SPORGENTE INCLINATA MEC 3 profilo NERO",X$9="NO"),X$11,IF(AND($Q$4="INCASSO DRITTA MEC 2",X$11&lt;&gt;""),X11,IF(AND($Q$4="JL COB esterna",X$9="SI",X$11&lt;&gt;""),X$11-4,IF(AND($Q$4="JL COB esterna",X$9="NO",X$11&lt;&gt;""),X$11,IF(AND($Q$4="JL COB incasso",X$11&lt;&gt;""),X$11,"")))))))))))))))))))))))))))))))))))))))</f>
        <v/>
      </c>
      <c r="Y12" s="200"/>
      <c r="Z12" s="200"/>
      <c r="AA12" s="197"/>
      <c r="AB12" s="197"/>
      <c r="AC12" s="198"/>
      <c r="AE12" s="199" t="str">
        <f>IF(AND($Q$4="INCASSO INCLINATA RIFT",AE$9="SI"),AE$11-8,IF(AND($Q$4="INCASSO INCLINATA RIFT",AE$9="NO"),AE$11,IF(AND($Q$4="INCASSO DRITTA LINIE",AE$11&lt;&gt;""),AE$11,IF(AND($Q$4="INCASSO INCLINATA MEC 4",AE$9="SI",AE$10="IR INTEGRATO"),AE$11-21-90&amp;"+90",IF(AND($Q$4="INCASSO INCLINATA MEC 4",AE$9="NO",AE$10="IR INTEGRATO"),AE$11-90&amp;"+90",IF(AND($Q$4="SPORGENTE DRITTA MEC 1 profilo GRIGIO",AE$9="SI",AE$10="IR INTEGRATO"),AE$11-5-90&amp;"+90",IF(AND($Q$4="SPORGENTE DRITTA MEC 1 profilo GRIGIO",AE$9="NO",AE$10="IR INTEGRATO"),AE$11-90&amp;"+90",IF(AND($Q$4="SPORGENTE INCLINATA MEC 3 profilo GRIGIO",AE$9="SI",AE$10="IR INTEGRATO"),AE$11-5-90&amp;"+90",IF(AND($Q$4="SPORGENTE INCLINATA MEC 3 profilo GRIGIO",AE$9="NO",AE$10="IR INTEGRATO"),AE$11-90&amp;"+90",IF(AND($Q$4="SPORGENTE DRITTA MEC 1 profilo NERO",AE$9="SI",AE$10="IR INTEGRATO"),AE$11-5-90&amp;"+90",IF(AND($Q$4="SPORGENTE DRITTA MEC 1 profilo NERO",AE$9="NO",AE$10="IR INTEGRATO"),AE$11-90&amp;"+90",IF(AND($Q$4="SPORGENTE INCLINATA MEC 3 profilo NERO",AE$9="SI",AE$10="IR INTEGRATO"),AE$11-5-90&amp;"+90",IF(AND($Q$4="SPORGENTE INCLINATA MEC 3 profilo NERO",AE$9="NO",AE$10="IR INTEGRATO"),AE$11-90&amp;"+90",IF(AND($Q$4="INCASSO DRITTA MEC 2",AE$10="IR INTEGRATO"),AE11-90&amp;"+90",IF(AND($Q$4="INCASSO INCLINATA MEC 4",AE$9="SI",AE$10="PIR INTEGRATO"),AE$11-21-90&amp;"+90",IF(AND($Q$4="INCASSO INCLINATA MEC 4",AE$9="NO",AE$10="PIR INTEGRATO"),AE$11-90&amp;"+90",IF(AND($Q$4="SPORGENTE DRITTA MEC 1 profilo GRIGIO",AE$9="SI",AE$10="PIR INTEGRATO"),AE$11-5-90&amp;"+90",IF(AND($Q$4="SPORGENTE DRITTA MEC 1 profilo GRIGIO",AE$9="NO",AE$10="PIR INTEGRATO"),AE$11-90&amp;"+90",IF(AND($Q$4="SPORGENTE INCLINATA MEC 3 profilo GRIGIO",AE$9="SI",AE$10="PIR INTEGRATO"),AE$11-5-90&amp;"+90",IF(AND($Q$4="SPORGENTE INCLINATA MEC 3 profilo GRIGIO",AE$9="NO",AE$10="PIR INTEGRATO"),AE$11-90&amp;"+90",IF(AND($Q$4="SPORGENTE DRITTA MEC 1 profilo NERO",AE$9="SI",AE$10="PIR INTEGRATO"),AE$11-5-90&amp;"+90",IF(AND($Q$4="SPORGENTE DRITTA MEC 1 profilo NERO",AE$9="NO",AE$10="PIR INTEGRATO"),AE$11-90&amp;"+90",IF(AND($Q$4="SPORGENTE INCLINATA MEC 3 profilo NERO",AE$9="SI",AE$10="PIR INTEGRATO"),AE$11-5-90&amp;"+90",IF(AND($Q$4="SPORGENTE INCLINATA MEC 3 profilo NERO",AE$9="NO",AE$10="PIR INTEGRATO"),AE$11-90&amp;"+90",IF(AND($Q$4="INCASSO DRITTA MEC 2",AE$10="PIR INTEGRATO"),AE11-90&amp;"+90",IF(AND($Q$4="INCASSO INCLINATA MEC 4",AE$9="SI"),AE$11-21,IF(AND($Q$4="INCASSO INCLINATA MEC 4",AE$9="NO"),AE$11,IF(AND($Q$4="SPORGENTE DRITTA MEC 1 profilo GRIGIO",AE$9="SI"),AE$11-5,IF(AND($Q$4="SPORGENTE DRITTA MEC 1 profilo GRIGIO",AE$9="NO"),AE$11,IF(AND($Q$4="SPORGENTE INCLINATA MEC 3 profilo GRIGIO",AE$9="SI"),AE$11-5,IF(AND($Q$4="SPORGENTE INCLINATA MEC 3 profilo GRIGIO",AE$9="NO"),AE$11,IF(AND($Q$4="SPORGENTE DRITTA MEC 1 profilo NERO",AE$9="SI"),AE$11-5,IF(AND($Q$4="SPORGENTE DRITTA MEC 1 profilo NERO",AE$9="NO"),AE$11,IF(AND($Q$4="SPORGENTE INCLINATA MEC 3 profilo NERO",AE$9="SI"),AE$11-5,IF(AND($Q$4="SPORGENTE INCLINATA MEC 3 profilo NERO",AE$9="NO"),AE$11,IF(AND($Q$4="INCASSO DRITTA MEC 2",AE$11&lt;&gt;""),AE11,IF(AND($Q$4="JL COB esterna",AE$9="SI",AE$11&lt;&gt;""),AE$11-4,IF(AND($Q$4="JL COB esterna",AE$9="NO",AE$11&lt;&gt;""),AE$11,IF(AND($Q$4="JL COB incasso",AE$11&lt;&gt;""),AE$11,"")))))))))))))))))))))))))))))))))))))))</f>
        <v/>
      </c>
      <c r="AF12" s="200"/>
      <c r="AG12" s="200"/>
      <c r="AH12" s="197"/>
      <c r="AI12" s="197"/>
      <c r="AJ12" s="198"/>
      <c r="AL12" s="199" t="str">
        <f>IF(AND($Q$4="INCASSO INCLINATA RIFT",AL$9="SI"),AL$11-8,IF(AND($Q$4="INCASSO INCLINATA RIFT",AL$9="NO"),AL$11,IF(AND($Q$4="INCASSO DRITTA LINIE",AL$11&lt;&gt;""),AL$11,IF(AND($Q$4="INCASSO INCLINATA MEC 4",AL$9="SI",AL$10="IR INTEGRATO"),AL$11-21-90&amp;"+90",IF(AND($Q$4="INCASSO INCLINATA MEC 4",AL$9="NO",AL$10="IR INTEGRATO"),AL$11-90&amp;"+90",IF(AND($Q$4="SPORGENTE DRITTA MEC 1 profilo GRIGIO",AL$9="SI",AL$10="IR INTEGRATO"),AL$11-5-90&amp;"+90",IF(AND($Q$4="SPORGENTE DRITTA MEC 1 profilo GRIGIO",AL$9="NO",AL$10="IR INTEGRATO"),AL$11-90&amp;"+90",IF(AND($Q$4="SPORGENTE INCLINATA MEC 3 profilo GRIGIO",AL$9="SI",AL$10="IR INTEGRATO"),AL$11-5-90&amp;"+90",IF(AND($Q$4="SPORGENTE INCLINATA MEC 3 profilo GRIGIO",AL$9="NO",AL$10="IR INTEGRATO"),AL$11-90&amp;"+90",IF(AND($Q$4="SPORGENTE DRITTA MEC 1 profilo NERO",AL$9="SI",AL$10="IR INTEGRATO"),AL$11-5-90&amp;"+90",IF(AND($Q$4="SPORGENTE DRITTA MEC 1 profilo NERO",AL$9="NO",AL$10="IR INTEGRATO"),AL$11-90&amp;"+90",IF(AND($Q$4="SPORGENTE INCLINATA MEC 3 profilo NERO",AL$9="SI",AL$10="IR INTEGRATO"),AL$11-5-90&amp;"+90",IF(AND($Q$4="SPORGENTE INCLINATA MEC 3 profilo NERO",AL$9="NO",AL$10="IR INTEGRATO"),AL$11-90&amp;"+90",IF(AND($Q$4="INCASSO DRITTA MEC 2",AL$10="IR INTEGRATO"),AL11-90&amp;"+90",IF(AND($Q$4="INCASSO INCLINATA MEC 4",AL$9="SI",AL$10="PIR INTEGRATO"),AL$11-21-90&amp;"+90",IF(AND($Q$4="INCASSO INCLINATA MEC 4",AL$9="NO",AL$10="PIR INTEGRATO"),AL$11-90&amp;"+90",IF(AND($Q$4="SPORGENTE DRITTA MEC 1 profilo GRIGIO",AL$9="SI",AL$10="PIR INTEGRATO"),AL$11-5-90&amp;"+90",IF(AND($Q$4="SPORGENTE DRITTA MEC 1 profilo GRIGIO",AL$9="NO",AL$10="PIR INTEGRATO"),AL$11-90&amp;"+90",IF(AND($Q$4="SPORGENTE INCLINATA MEC 3 profilo GRIGIO",AL$9="SI",AL$10="PIR INTEGRATO"),AL$11-5-90&amp;"+90",IF(AND($Q$4="SPORGENTE INCLINATA MEC 3 profilo GRIGIO",AL$9="NO",AL$10="PIR INTEGRATO"),AL$11-90&amp;"+90",IF(AND($Q$4="SPORGENTE DRITTA MEC 1 profilo NERO",AL$9="SI",AL$10="PIR INTEGRATO"),AL$11-5-90&amp;"+90",IF(AND($Q$4="SPORGENTE DRITTA MEC 1 profilo NERO",AL$9="NO",AL$10="PIR INTEGRATO"),AL$11-90&amp;"+90",IF(AND($Q$4="SPORGENTE INCLINATA MEC 3 profilo NERO",AL$9="SI",AL$10="PIR INTEGRATO"),AL$11-5-90&amp;"+90",IF(AND($Q$4="SPORGENTE INCLINATA MEC 3 profilo NERO",AL$9="NO",AL$10="PIR INTEGRATO"),AL$11-90&amp;"+90",IF(AND($Q$4="INCASSO DRITTA MEC 2",AL$10="PIR INTEGRATO"),AL11-90&amp;"+90",IF(AND($Q$4="INCASSO INCLINATA MEC 4",AL$9="SI"),AL$11-21,IF(AND($Q$4="INCASSO INCLINATA MEC 4",AL$9="NO"),AL$11,IF(AND($Q$4="SPORGENTE DRITTA MEC 1 profilo GRIGIO",AL$9="SI"),AL$11-5,IF(AND($Q$4="SPORGENTE DRITTA MEC 1 profilo GRIGIO",AL$9="NO"),AL$11,IF(AND($Q$4="SPORGENTE INCLINATA MEC 3 profilo GRIGIO",AL$9="SI"),AL$11-5,IF(AND($Q$4="SPORGENTE INCLINATA MEC 3 profilo GRIGIO",AL$9="NO"),AL$11,IF(AND($Q$4="SPORGENTE DRITTA MEC 1 profilo NERO",AL$9="SI"),AL$11-5,IF(AND($Q$4="SPORGENTE DRITTA MEC 1 profilo NERO",AL$9="NO"),AL$11,IF(AND($Q$4="SPORGENTE INCLINATA MEC 3 profilo NERO",AL$9="SI"),AL$11-5,IF(AND($Q$4="SPORGENTE INCLINATA MEC 3 profilo NERO",AL$9="NO"),AL$11,IF(AND($Q$4="INCASSO DRITTA MEC 2",AL$11&lt;&gt;""),AL11,IF(AND($Q$4="JL COB esterna",AL$9="SI",AL$11&lt;&gt;""),AL$11-4,IF(AND($Q$4="JL COB esterna",AL$9="NO",AL$11&lt;&gt;""),AL$11,IF(AND($Q$4="JL COB incasso",AL$11&lt;&gt;""),AL$11,"")))))))))))))))))))))))))))))))))))))))</f>
        <v/>
      </c>
      <c r="AM12" s="200"/>
      <c r="AN12" s="200"/>
      <c r="AO12" s="197"/>
      <c r="AP12" s="197"/>
      <c r="AQ12" s="198"/>
      <c r="AR12" s="146"/>
      <c r="AS12" s="146"/>
      <c r="AT12" s="146"/>
      <c r="AU12" s="14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</row>
    <row r="13" spans="1:63" ht="14.1" customHeight="1" x14ac:dyDescent="0.3">
      <c r="A13" s="106"/>
      <c r="B13" s="202" t="s">
        <v>95</v>
      </c>
      <c r="C13" s="202"/>
      <c r="D13" s="202"/>
      <c r="E13" s="202"/>
      <c r="F13" s="202"/>
      <c r="G13" s="202"/>
      <c r="H13" s="202"/>
      <c r="I13" s="76"/>
      <c r="J13" s="199" t="str">
        <f>IF(AND($Q$4="INCASSO INCLINATA RIFT",J$9="SI"),J$11-8,IF(AND($Q$4="INCASSO INCLINATA RIFT",J$9="NO"),J$11,IF(AND($Q$4="INCASSO DRITTA LINIE",J$11&lt;&gt;""),J$11-10,IF(AND($Q$4="INCASSO INCLINATA MEC 4",J$9="SI"),J$11-21,IF(AND($Q$4="INCASSO INCLINATA MEC 4",J$9="NO"),J$11,IF(AND($Q$4="SPORGENTE DRITTA MEC 1 profilo GRIGIO",J$9="SI"),J$11-32,IF(AND($Q$4="SPORGENTE DRITTA MEC 1 profilo GRIGIO",J$9="NO"),J$11,IF(AND($Q$4="SPORGENTE INCLINATA MEC 3 profilo GRIGIO",J$9="SI"),J$11-32,IF(AND($Q$4="SPORGENTE INCLINATA MEC 3 profilo GRIGIO",J$9="NO"),J$11,IF(AND($Q$4="SPORGENTE DRITTA MEC 1 profilo NERO",J$9="SI"),J$11-32,IF(AND($Q$4="SPORGENTE DRITTA MEC 1 profilo NERO",J$9="NO"),J$11,IF(AND($Q$4="SPORGENTE INCLINATA MEC 3 profilo NERO",J$9="SI"),J$11-32,IF(AND($Q$4="SPORGENTE INCLINATA MEC 3 profilo NERO",J$9="NO"),J$11,IF(AND($Q$4="INCASSO DRITTA MEC 2",J$11&lt;&gt;""),J11-20,IF(AND($Q$4="JL COB esterna",J$9="SI",J$11&lt;&gt;""),J$11-4,IF(AND($Q$4="JL COB esterna",J$9="NO",J$11&lt;&gt;""),J$11,IF(AND($Q$4="JL COB incasso",J$11&lt;&gt;""),J$11,"")))))))))))))))))</f>
        <v/>
      </c>
      <c r="K13" s="200"/>
      <c r="L13" s="200"/>
      <c r="M13" s="197"/>
      <c r="N13" s="197"/>
      <c r="O13" s="198"/>
      <c r="P13" s="128"/>
      <c r="Q13" s="199" t="str">
        <f>IF(AND($Q$4="INCASSO INCLINATA RIFT",Q$9="SI"),Q$11-8,IF(AND($Q$4="INCASSO INCLINATA RIFT",Q$9="NO"),Q$11,IF(AND($Q$4="INCASSO DRITTA LINIE",Q$11&lt;&gt;""),Q$11-10,IF(AND($Q$4="INCASSO INCLINATA MEC 4",Q$9="SI"),Q$11-21,IF(AND($Q$4="INCASSO INCLINATA MEC 4",Q$9="NO"),Q$11,IF(AND($Q$4="SPORGENTE DRITTA MEC 1 profilo GRIGIO",Q$9="SI"),Q$11-32,IF(AND($Q$4="SPORGENTE DRITTA MEC 1 profilo GRIGIO",Q$9="NO"),Q$11,IF(AND($Q$4="SPORGENTE INCLINATA MEC 3 profilo GRIGIO",Q$9="SI"),Q$11-32,IF(AND($Q$4="SPORGENTE INCLINATA MEC 3 profilo GRIGIO",Q$9="NO"),Q$11,IF(AND($Q$4="SPORGENTE DRITTA MEC 1 profilo NERO",Q$9="SI"),Q$11-32,IF(AND($Q$4="SPORGENTE DRITTA MEC 1 profilo NERO",Q$9="NO"),Q$11,IF(AND($Q$4="SPORGENTE INCLINATA MEC 3 profilo NERO",Q$9="SI"),Q$11-32,IF(AND($Q$4="SPORGENTE INCLINATA MEC 3 profilo NERO",Q$9="NO"),Q$11,IF(AND($Q$4="INCASSO DRITTA MEC 2",Q$11&lt;&gt;""),Q11-20,IF(AND($Q$4="JL COB esterna",Q$9="SI",Q$11&lt;&gt;""),Q$11-4,IF(AND($Q$4="JL COB esterna",Q$9="NO",Q$11&lt;&gt;""),Q$11,IF(AND($Q$4="JL COB incasso",Q$11&lt;&gt;""),Q$11,"")))))))))))))))))</f>
        <v/>
      </c>
      <c r="R13" s="200"/>
      <c r="S13" s="200"/>
      <c r="T13" s="197"/>
      <c r="U13" s="197"/>
      <c r="V13" s="198"/>
      <c r="X13" s="199" t="str">
        <f>IF(AND($Q$4="INCASSO INCLINATA RIFT",X$9="SI"),X$11-8,IF(AND($Q$4="INCASSO INCLINATA RIFT",X$9="NO"),X$11,IF(AND($Q$4="INCASSO DRITTA LINIE",X$11&lt;&gt;""),X$11-10,IF(AND($Q$4="INCASSO INCLINATA MEC 4",X$9="SI"),X$11-21,IF(AND($Q$4="INCASSO INCLINATA MEC 4",X$9="NO"),X$11,IF(AND($Q$4="SPORGENTE DRITTA MEC 1 profilo GRIGIO",X$9="SI"),X$11-32,IF(AND($Q$4="SPORGENTE DRITTA MEC 1 profilo GRIGIO",X$9="NO"),X$11,IF(AND($Q$4="SPORGENTE INCLINATA MEC 3 profilo GRIGIO",X$9="SI"),X$11-32,IF(AND($Q$4="SPORGENTE INCLINATA MEC 3 profilo GRIGIO",X$9="NO"),X$11,IF(AND($Q$4="SPORGENTE DRITTA MEC 1 profilo NERO",X$9="SI"),X$11-32,IF(AND($Q$4="SPORGENTE DRITTA MEC 1 profilo NERO",X$9="NO"),X$11,IF(AND($Q$4="SPORGENTE INCLINATA MEC 3 profilo NERO",X$9="SI"),X$11-32,IF(AND($Q$4="SPORGENTE INCLINATA MEC 3 profilo NERO",X$9="NO"),X$11,IF(AND($Q$4="INCASSO DRITTA MEC 2",X$11&lt;&gt;""),X11-20,IF(AND($Q$4="JL COB esterna",X$9="SI",X$11&lt;&gt;""),X$11-4,IF(AND($Q$4="JL COB esterna",X$9="NO",X$11&lt;&gt;""),X$11,IF(AND($Q$4="JL COB incasso",X$11&lt;&gt;""),X$11,"")))))))))))))))))</f>
        <v/>
      </c>
      <c r="Y13" s="200"/>
      <c r="Z13" s="200"/>
      <c r="AA13" s="197"/>
      <c r="AB13" s="197"/>
      <c r="AC13" s="198"/>
      <c r="AE13" s="199" t="str">
        <f>IF(AND($Q$4="INCASSO INCLINATA RIFT",AE$9="SI"),AE$11-8,IF(AND($Q$4="INCASSO INCLINATA RIFT",AE$9="NO"),AE$11,IF(AND($Q$4="INCASSO DRITTA LINIE",AE$11&lt;&gt;""),AE$11-10,IF(AND($Q$4="INCASSO INCLINATA MEC 4",AE$9="SI"),AE$11-21,IF(AND($Q$4="INCASSO INCLINATA MEC 4",AE$9="NO"),AE$11,IF(AND($Q$4="SPORGENTE DRITTA MEC 1 profilo GRIGIO",AE$9="SI"),AE$11-32,IF(AND($Q$4="SPORGENTE DRITTA MEC 1 profilo GRIGIO",AE$9="NO"),AE$11,IF(AND($Q$4="SPORGENTE INCLINATA MEC 3 profilo GRIGIO",AE$9="SI"),AE$11-32,IF(AND($Q$4="SPORGENTE INCLINATA MEC 3 profilo GRIGIO",AE$9="NO"),AE$11,IF(AND($Q$4="SPORGENTE DRITTA MEC 1 profilo NERO",AE$9="SI"),AE$11-32,IF(AND($Q$4="SPORGENTE DRITTA MEC 1 profilo NERO",AE$9="NO"),AE$11,IF(AND($Q$4="SPORGENTE INCLINATA MEC 3 profilo NERO",AE$9="SI"),AE$11-32,IF(AND($Q$4="SPORGENTE INCLINATA MEC 3 profilo NERO",AE$9="NO"),AE$11,IF(AND($Q$4="INCASSO DRITTA MEC 2",AE$11&lt;&gt;""),AE11-20,IF(AND($Q$4="JL COB esterna",AE$9="SI",AE$11&lt;&gt;""),AE$11-4,IF(AND($Q$4="JL COB esterna",AE$9="NO",AE$11&lt;&gt;""),AE$11,IF(AND($Q$4="JL COB incasso",AE$11&lt;&gt;""),AE$11,"")))))))))))))))))</f>
        <v/>
      </c>
      <c r="AF13" s="200"/>
      <c r="AG13" s="200"/>
      <c r="AH13" s="197"/>
      <c r="AI13" s="197"/>
      <c r="AJ13" s="198"/>
      <c r="AL13" s="199" t="str">
        <f>IF(AND($Q$4="INCASSO INCLINATA RIFT",AL$9="SI"),AL$11-8,IF(AND($Q$4="INCASSO INCLINATA RIFT",AL$9="NO"),AL$11,IF(AND($Q$4="INCASSO DRITTA LINIE",AL$11&lt;&gt;""),AL$11-10,IF(AND($Q$4="INCASSO INCLINATA MEC 4",AL$9="SI"),AL$11-21,IF(AND($Q$4="INCASSO INCLINATA MEC 4",AL$9="NO"),AL$11,IF(AND($Q$4="SPORGENTE DRITTA MEC 1 profilo GRIGIO",AL$9="SI"),AL$11-32,IF(AND($Q$4="SPORGENTE DRITTA MEC 1 profilo GRIGIO",AL$9="NO"),AL$11,IF(AND($Q$4="SPORGENTE INCLINATA MEC 3 profilo GRIGIO",AL$9="SI"),AL$11-32,IF(AND($Q$4="SPORGENTE INCLINATA MEC 3 profilo GRIGIO",AL$9="NO"),AL$11,IF(AND($Q$4="SPORGENTE DRITTA MEC 1 profilo NERO",AL$9="SI"),AL$11-32,IF(AND($Q$4="SPORGENTE DRITTA MEC 1 profilo NERO",AL$9="NO"),AL$11,IF(AND($Q$4="SPORGENTE INCLINATA MEC 3 profilo NERO",AL$9="SI"),AL$11-32,IF(AND($Q$4="SPORGENTE INCLINATA MEC 3 profilo NERO",AL$9="NO"),AL$11,IF(AND($Q$4="INCASSO DRITTA MEC 2",AL$11&lt;&gt;""),AL11-20,IF(AND($Q$4="JL COB esterna",AL$9="SI",AL$11&lt;&gt;""),AL$11-4,IF(AND($Q$4="JL COB esterna",AL$9="NO",AL$11&lt;&gt;""),AL$11,IF(AND($Q$4="JL COB incasso",AL$11&lt;&gt;""),AL$11,"")))))))))))))))))</f>
        <v/>
      </c>
      <c r="AM13" s="200"/>
      <c r="AN13" s="200"/>
      <c r="AO13" s="197"/>
      <c r="AP13" s="197"/>
      <c r="AQ13" s="198"/>
      <c r="AR13" s="146"/>
      <c r="AS13" s="146"/>
      <c r="AT13" s="146"/>
      <c r="AU13" s="14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</row>
    <row r="14" spans="1:63" ht="14.1" customHeight="1" x14ac:dyDescent="0.3">
      <c r="A14" s="106"/>
      <c r="B14" s="202" t="s">
        <v>99</v>
      </c>
      <c r="C14" s="202"/>
      <c r="D14" s="202"/>
      <c r="E14" s="202"/>
      <c r="F14" s="202"/>
      <c r="G14" s="202"/>
      <c r="H14" s="202"/>
      <c r="I14" s="76"/>
      <c r="J14" s="223"/>
      <c r="K14" s="224"/>
      <c r="L14" s="225" t="str">
        <f>IF(OR(J7="",J14="NO",J14=""),"",IF(OR($Q$4="SPORGENTE DRITTA MEC 1 profilo GRIGIO",$Q$4="SPORGENTE INCLINATA MEC 3 profilo GRIGIO"),J7*DATI!$V$112,IF(OR($Q$4="SPORGENTE DRITTA MEC 1 profilo NERO",$Q$4="SPORGENTE INCLINATA MEC 3 profilo NERO"),J7*DATI!$V$112,IF(AND($Q$4="INCASSO DRITTA MEC 2"),J7*DATI!$V$113,IF(AND($Q$4="INCASSO INCLINATA MEC 4"),J7*DATI!$V$114,IF(AND($Q$4="JL COB ESTERNA"),J7*DATI!$V$115,IF(AND($Q$4="JL COB INCASSO"),J7*DATI!$V$115,"")))))))</f>
        <v/>
      </c>
      <c r="M14" s="226"/>
      <c r="N14" s="221"/>
      <c r="O14" s="222"/>
      <c r="Q14" s="223"/>
      <c r="R14" s="224"/>
      <c r="S14" s="225" t="str">
        <f>IF(OR(Q7="",Q14="NO",Q14=""),"",IF(OR($Q$4="SPORGENTE DRITTA MEC 1 profilo GRIGIO",$Q$4="SPORGENTE INCLINATA MEC 3 profilo GRIGIO"),Q7*DATI!$W$112,IF(OR($Q$4="SPORGENTE DRITTA MEC 1 profilo NERO",$Q$4="SPORGENTE INCLINATA MEC 3 profilo NERO"),Q7*DATI!$W$112,IF(AND($Q$4="INCASSO DRITTA MEC 2"),Q7*DATI!$W$113,IF(AND($Q$4="INCASSO INCLINATA MEC 4"),Q7*DATI!$W$114,IF(AND($Q$4="JL COB ESTERNA"),Q7*DATI!$W$115,IF(AND($Q$4="JL COB INCASSO"),Q7*DATI!$W$115,"")))))))</f>
        <v/>
      </c>
      <c r="T14" s="226"/>
      <c r="U14" s="221"/>
      <c r="V14" s="222"/>
      <c r="X14" s="223"/>
      <c r="Y14" s="224"/>
      <c r="Z14" s="225" t="str">
        <f>IF(OR(X7="",X14="NO",X14=""),"",IF(OR($Q$4="SPORGENTE DRITTA MEC 1 profilo GRIGIO",$Q$4="SPORGENTE INCLINATA MEC 3 profilo GRIGIO"),X7*DATI!$X$112,IF(OR($Q$4="SPORGENTE DRITTA MEC 1 profilo NERO",$Q$4="SPORGENTE INCLINATA MEC 3 profilo NERO"),X7*DATI!$X$112,IF(AND($Q$4="INCASSO DRITTA MEC 2"),X7*DATI!$X$113,IF(AND($Q$4="INCASSO INCLINATA MEC 4"),X7*DATI!$X$114,IF(AND($Q$4="JL COB ESTERNA"),X7*DATI!$X$115,IF(AND($Q$4="JL COB INCASSO"),X7*DATI!$X$115,"")))))))</f>
        <v/>
      </c>
      <c r="AA14" s="226"/>
      <c r="AB14" s="221"/>
      <c r="AC14" s="222"/>
      <c r="AE14" s="223"/>
      <c r="AF14" s="224"/>
      <c r="AG14" s="225" t="str">
        <f>IF(OR(AE7="",AE14="NO",AE14=""),"",IF(OR($Q$4="SPORGENTE DRITTA MEC 1 profilo GRIGIO",$Q$4="SPORGENTE INCLINATA MEC 3 profilo GRIGIO"),AE7*DATI!$Y$112,IF(OR($Q$4="SPORGENTE DRITTA MEC 1 profilo NERO",$Q$4="SPORGENTE INCLINATA MEC 3 profilo NERO"),AE7*DATI!$Y$112,IF(AND($Q$4="INCASSO DRITTA MEC 2"),AE7*DATI!$Y$113,IF(AND($Q$4="INCASSO INCLINATA MEC 4"),AE7*DATI!$Y$114,IF(AND($Q$4="JL COB ESTERNA"),AE7*DATI!$Y$115,IF(AND($Q$4="JL COB INCASSO"),AE7*DATI!$Y$115,"")))))))</f>
        <v/>
      </c>
      <c r="AH14" s="226"/>
      <c r="AI14" s="221"/>
      <c r="AJ14" s="222"/>
      <c r="AL14" s="223"/>
      <c r="AM14" s="224"/>
      <c r="AN14" s="225" t="str">
        <f>IF(OR(AL7="",AL14="NO",AL14=""),"",IF(OR($Q$4="SPORGENTE DRITTA MEC 1 profilo GRIGIO",$Q$4="SPORGENTE INCLINATA MEC 3 profilo GRIGIO"),AL7*DATI!$Z$112,IF(OR($Q$4="SPORGENTE DRITTA MEC 1 profilo NERO",$Q$4="SPORGENTE INCLINATA MEC 3 profilo NERO"),AL7*DATI!$Z$112,IF(AND($Q$4="INCASSO DRITTA MEC 2"),AL7*DATI!$Z$113,IF(AND($Q$4="INCASSO INCLINATA MEC 4"),AL7*DATI!$Z$114,IF(AND($Q$4="JL COB ESTERNA"),AL7*DATI!$Z$115,IF(AND($Q$4="JL COB INCASSO"),AL7*DATI!$Z$115,"")))))))</f>
        <v/>
      </c>
      <c r="AO14" s="226"/>
      <c r="AP14" s="221"/>
      <c r="AQ14" s="222"/>
      <c r="AR14" s="146"/>
      <c r="AS14" s="146"/>
      <c r="AT14" s="146"/>
      <c r="AU14" s="14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</row>
    <row r="15" spans="1:63" ht="14.1" customHeight="1" x14ac:dyDescent="0.3">
      <c r="A15" s="106"/>
      <c r="B15" s="202" t="s">
        <v>108</v>
      </c>
      <c r="C15" s="202"/>
      <c r="D15" s="202"/>
      <c r="E15" s="202"/>
      <c r="F15" s="202"/>
      <c r="G15" s="202"/>
      <c r="H15" s="202"/>
      <c r="I15" s="76"/>
      <c r="J15" s="228" t="str">
        <f>IF(AND($Q$4="INCASSO INCLINATA RIFT",J7&lt;&gt;""),SUM(J13*9/1000),IF(AND($Q$4="JL COB incasso",J7&lt;&gt;""),SUM(J13*10/1000),IF(AND($Q$4="JL COB esterna",J7&lt;&gt;""),SUM(J13*10/1000),IF(AND($Q$4="INCASSO DRITTA LINIE",J7&lt;&gt;""),SUM(J13*9/1000),IF(AND(J7&lt;&gt;""),SUM(J13*11.8/1000),"")))))</f>
        <v/>
      </c>
      <c r="K15" s="229"/>
      <c r="L15" s="229"/>
      <c r="M15" s="237" t="str">
        <f>IF(J15&lt;&gt;"",SUM(J15*J7),"")</f>
        <v/>
      </c>
      <c r="N15" s="237"/>
      <c r="O15" s="238"/>
      <c r="Q15" s="228" t="str">
        <f>IF(AND($Q$4="INCASSO INCLINATA RIFT",Q7&lt;&gt;""),SUM(Q13*9/1000),IF(AND($Q$4="JL COB incasso",Q7&lt;&gt;""),SUM(Q13*10/1000),IF(AND($Q$4="JL COB esterna",Q7&lt;&gt;""),SUM(Q13*10/1000),IF(AND($Q$4="INCASSO DRITTA LINIE",Q7&lt;&gt;""),SUM(Q13*9/1000),IF(AND(Q7&lt;&gt;""),SUM(Q13*11.8/1000),"")))))</f>
        <v/>
      </c>
      <c r="R15" s="229"/>
      <c r="S15" s="229"/>
      <c r="T15" s="237" t="str">
        <f>IF(Q15&lt;&gt;"",SUM(Q15*Q7),"")</f>
        <v/>
      </c>
      <c r="U15" s="237"/>
      <c r="V15" s="238"/>
      <c r="X15" s="228" t="str">
        <f>IF(AND($Q$4="INCASSO INCLINATA RIFT",X7&lt;&gt;""),SUM(X13*9/1000),IF(AND($Q$4="JL COB incasso",X7&lt;&gt;""),SUM(X13*10/1000),IF(AND($Q$4="JL COB esterna",X7&lt;&gt;""),SUM(X13*10/1000),IF(AND($Q$4="INCASSO DRITTA LINIE",X7&lt;&gt;""),SUM(X13*9/1000),IF(AND(X7&lt;&gt;""),SUM(X13*11.8/1000),"")))))</f>
        <v/>
      </c>
      <c r="Y15" s="229"/>
      <c r="Z15" s="229"/>
      <c r="AA15" s="237" t="str">
        <f>IF(X15&lt;&gt;"",SUM(X15*X7),"")</f>
        <v/>
      </c>
      <c r="AB15" s="237"/>
      <c r="AC15" s="238"/>
      <c r="AE15" s="228" t="str">
        <f>IF(AND($Q$4="INCASSO INCLINATA RIFT",AE7&lt;&gt;""),SUM(AE13*9/1000),IF(AND($Q$4="JL COB incasso",AE7&lt;&gt;""),SUM(AE13*10/1000),IF(AND($Q$4="JL COB esterna",AE7&lt;&gt;""),SUM(AE13*10/1000),IF(AND($Q$4="INCASSO DRITTA LINIE",AE7&lt;&gt;""),SUM(AE13*9/1000),IF(AND(AE7&lt;&gt;""),SUM(AE13*11.8/1000),"")))))</f>
        <v/>
      </c>
      <c r="AF15" s="229"/>
      <c r="AG15" s="229"/>
      <c r="AH15" s="237" t="str">
        <f>IF(AE15&lt;&gt;"",SUM(AE15*AE7),"")</f>
        <v/>
      </c>
      <c r="AI15" s="237"/>
      <c r="AJ15" s="238"/>
      <c r="AL15" s="228" t="str">
        <f>IF(AND($Q$4="INCASSO INCLINATA RIFT",AL7&lt;&gt;""),SUM(AL13*9/1000),IF(AND($Q$4="JL COB incasso",AL7&lt;&gt;""),SUM(AL13*10/1000),IF(AND($Q$4="JL COB esterna",AL7&lt;&gt;""),SUM(AL13*10/1000),IF(AND($Q$4="INCASSO DRITTA LINIE",AL7&lt;&gt;""),SUM(AL13*9/1000),IF(AND(AL7&lt;&gt;""),SUM(AL13*11.8/1000),"")))))</f>
        <v/>
      </c>
      <c r="AM15" s="229"/>
      <c r="AN15" s="229"/>
      <c r="AO15" s="237" t="str">
        <f>IF(AL15&lt;&gt;"",SUM(AL15*AL7),"")</f>
        <v/>
      </c>
      <c r="AP15" s="237"/>
      <c r="AQ15" s="238"/>
      <c r="AR15" s="146"/>
      <c r="AS15" s="146"/>
      <c r="AT15" s="146"/>
      <c r="AU15" s="14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</row>
    <row r="16" spans="1:63" ht="6.9" customHeight="1" x14ac:dyDescent="0.3">
      <c r="A16" s="106"/>
      <c r="B16" s="242" t="s">
        <v>112</v>
      </c>
      <c r="C16" s="242"/>
      <c r="D16" s="242"/>
      <c r="E16" s="242"/>
      <c r="F16" s="242"/>
      <c r="G16" s="244">
        <f>SUM(M15,T15,AA15,AH15,AO15)</f>
        <v>0</v>
      </c>
      <c r="H16" s="242"/>
      <c r="I16" s="87"/>
      <c r="J16" s="231"/>
      <c r="K16" s="232"/>
      <c r="L16" s="232"/>
      <c r="M16" s="232"/>
      <c r="N16" s="232"/>
      <c r="O16" s="233"/>
      <c r="P16" s="129"/>
      <c r="Q16" s="231"/>
      <c r="R16" s="232"/>
      <c r="S16" s="232"/>
      <c r="T16" s="232"/>
      <c r="U16" s="232"/>
      <c r="V16" s="233"/>
      <c r="W16" s="88"/>
      <c r="X16" s="231"/>
      <c r="Y16" s="232"/>
      <c r="Z16" s="232"/>
      <c r="AA16" s="232"/>
      <c r="AB16" s="232"/>
      <c r="AC16" s="233"/>
      <c r="AD16" s="129"/>
      <c r="AE16" s="231"/>
      <c r="AF16" s="232"/>
      <c r="AG16" s="232"/>
      <c r="AH16" s="232"/>
      <c r="AI16" s="232"/>
      <c r="AJ16" s="233"/>
      <c r="AK16" s="134"/>
      <c r="AL16" s="231"/>
      <c r="AM16" s="232"/>
      <c r="AN16" s="232"/>
      <c r="AO16" s="232"/>
      <c r="AP16" s="232"/>
      <c r="AQ16" s="233"/>
      <c r="AR16" s="146"/>
      <c r="AS16" s="146"/>
      <c r="AT16" s="146"/>
      <c r="AU16" s="14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</row>
    <row r="17" spans="1:62" ht="6.9" customHeight="1" x14ac:dyDescent="0.4">
      <c r="A17" s="106"/>
      <c r="B17" s="242"/>
      <c r="C17" s="242"/>
      <c r="D17" s="242"/>
      <c r="E17" s="242"/>
      <c r="F17" s="242"/>
      <c r="G17" s="242"/>
      <c r="H17" s="242"/>
      <c r="I17" s="79"/>
      <c r="J17" s="231"/>
      <c r="K17" s="232"/>
      <c r="L17" s="232"/>
      <c r="M17" s="232"/>
      <c r="N17" s="232"/>
      <c r="O17" s="233"/>
      <c r="P17" s="130"/>
      <c r="Q17" s="231"/>
      <c r="R17" s="232"/>
      <c r="S17" s="232"/>
      <c r="T17" s="232"/>
      <c r="U17" s="232"/>
      <c r="V17" s="233"/>
      <c r="W17" s="130"/>
      <c r="X17" s="231"/>
      <c r="Y17" s="232"/>
      <c r="Z17" s="232"/>
      <c r="AA17" s="232"/>
      <c r="AB17" s="232"/>
      <c r="AC17" s="233"/>
      <c r="AE17" s="231"/>
      <c r="AF17" s="232"/>
      <c r="AG17" s="232"/>
      <c r="AH17" s="232"/>
      <c r="AI17" s="232"/>
      <c r="AJ17" s="233"/>
      <c r="AL17" s="231"/>
      <c r="AM17" s="232"/>
      <c r="AN17" s="232"/>
      <c r="AO17" s="232"/>
      <c r="AP17" s="232"/>
      <c r="AQ17" s="233"/>
      <c r="AR17" s="146"/>
      <c r="AS17" s="146"/>
      <c r="AT17" s="146"/>
      <c r="AU17" s="14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</row>
    <row r="18" spans="1:62" ht="6.9" customHeight="1" x14ac:dyDescent="0.4">
      <c r="A18" s="106"/>
      <c r="B18" s="265" t="s">
        <v>111</v>
      </c>
      <c r="C18" s="265"/>
      <c r="D18" s="265"/>
      <c r="E18" s="265"/>
      <c r="F18" s="265"/>
      <c r="G18" s="265" t="s">
        <v>109</v>
      </c>
      <c r="H18" s="265"/>
      <c r="I18" s="79"/>
      <c r="J18" s="231"/>
      <c r="K18" s="232"/>
      <c r="L18" s="232"/>
      <c r="M18" s="232"/>
      <c r="N18" s="232"/>
      <c r="O18" s="233"/>
      <c r="P18" s="130"/>
      <c r="Q18" s="231"/>
      <c r="R18" s="232"/>
      <c r="S18" s="232"/>
      <c r="T18" s="232"/>
      <c r="U18" s="232"/>
      <c r="V18" s="233"/>
      <c r="W18" s="130"/>
      <c r="X18" s="231"/>
      <c r="Y18" s="232"/>
      <c r="Z18" s="232"/>
      <c r="AA18" s="232"/>
      <c r="AB18" s="232"/>
      <c r="AC18" s="233"/>
      <c r="AE18" s="231"/>
      <c r="AF18" s="232"/>
      <c r="AG18" s="232"/>
      <c r="AH18" s="232"/>
      <c r="AI18" s="232"/>
      <c r="AJ18" s="233"/>
      <c r="AL18" s="231"/>
      <c r="AM18" s="232"/>
      <c r="AN18" s="232"/>
      <c r="AO18" s="232"/>
      <c r="AP18" s="232"/>
      <c r="AQ18" s="233"/>
      <c r="AR18" s="146"/>
      <c r="AS18" s="146"/>
      <c r="AT18" s="146"/>
      <c r="AU18" s="14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</row>
    <row r="19" spans="1:62" ht="6.9" customHeight="1" x14ac:dyDescent="0.4">
      <c r="A19" s="106"/>
      <c r="B19" s="265"/>
      <c r="C19" s="265"/>
      <c r="D19" s="265"/>
      <c r="E19" s="265"/>
      <c r="F19" s="265"/>
      <c r="G19" s="265"/>
      <c r="H19" s="265"/>
      <c r="I19" s="79"/>
      <c r="J19" s="231"/>
      <c r="K19" s="232"/>
      <c r="L19" s="232"/>
      <c r="M19" s="232"/>
      <c r="N19" s="232"/>
      <c r="O19" s="233"/>
      <c r="P19" s="130"/>
      <c r="Q19" s="231"/>
      <c r="R19" s="232"/>
      <c r="S19" s="232"/>
      <c r="T19" s="232"/>
      <c r="U19" s="232"/>
      <c r="V19" s="233"/>
      <c r="W19" s="130"/>
      <c r="X19" s="231"/>
      <c r="Y19" s="232"/>
      <c r="Z19" s="232"/>
      <c r="AA19" s="232"/>
      <c r="AB19" s="232"/>
      <c r="AC19" s="233"/>
      <c r="AE19" s="231"/>
      <c r="AF19" s="232"/>
      <c r="AG19" s="232"/>
      <c r="AH19" s="232"/>
      <c r="AI19" s="232"/>
      <c r="AJ19" s="233"/>
      <c r="AL19" s="231"/>
      <c r="AM19" s="232"/>
      <c r="AN19" s="232"/>
      <c r="AO19" s="232"/>
      <c r="AP19" s="232"/>
      <c r="AQ19" s="233"/>
      <c r="AR19" s="146"/>
      <c r="AS19" s="146"/>
      <c r="AT19" s="146"/>
      <c r="AU19" s="14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</row>
    <row r="20" spans="1:62" ht="6" customHeight="1" x14ac:dyDescent="0.3">
      <c r="A20" s="106"/>
      <c r="B20" s="242" t="str">
        <f>IF($Q$4="","",IF(OR(AND($BK$5=0,$E$26="SENSORE IR ESTERNO"),AND($BK$5=0,$T$26="SENSORE IR ESTERNO"),AND($BK$5=0,$AJ$26="SENSORE IR ESTERNO")),"48 w",IF($Q$4="JL COB esterna","60 w",IF($Q$4="JL COB incasso","60 w",IF(OR($Q$4="INCASSO DRITTA LINIE",$Q$4="INCASSO INCLINATA RIFT"),"36 w","18 w")))))</f>
        <v/>
      </c>
      <c r="C20" s="242"/>
      <c r="D20" s="242"/>
      <c r="E20" s="242"/>
      <c r="F20" s="242"/>
      <c r="G20" s="243"/>
      <c r="H20" s="243"/>
      <c r="I20" s="87"/>
      <c r="J20" s="231"/>
      <c r="K20" s="232"/>
      <c r="L20" s="232"/>
      <c r="M20" s="232"/>
      <c r="N20" s="232"/>
      <c r="O20" s="233"/>
      <c r="P20" s="129"/>
      <c r="Q20" s="231"/>
      <c r="R20" s="232"/>
      <c r="S20" s="232"/>
      <c r="T20" s="232"/>
      <c r="U20" s="232"/>
      <c r="V20" s="233"/>
      <c r="W20" s="88"/>
      <c r="X20" s="231"/>
      <c r="Y20" s="232"/>
      <c r="Z20" s="232"/>
      <c r="AA20" s="232"/>
      <c r="AB20" s="232"/>
      <c r="AC20" s="233"/>
      <c r="AE20" s="231"/>
      <c r="AF20" s="232"/>
      <c r="AG20" s="232"/>
      <c r="AH20" s="232"/>
      <c r="AI20" s="232"/>
      <c r="AJ20" s="233"/>
      <c r="AK20" s="134"/>
      <c r="AL20" s="231"/>
      <c r="AM20" s="232"/>
      <c r="AN20" s="232"/>
      <c r="AO20" s="232"/>
      <c r="AP20" s="232"/>
      <c r="AQ20" s="233"/>
      <c r="AR20" s="146"/>
      <c r="AS20" s="146"/>
      <c r="AT20" s="146"/>
      <c r="AU20" s="14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</row>
    <row r="21" spans="1:62" ht="6" customHeight="1" x14ac:dyDescent="0.3">
      <c r="A21" s="106"/>
      <c r="B21" s="242"/>
      <c r="C21" s="242"/>
      <c r="D21" s="242"/>
      <c r="E21" s="242"/>
      <c r="F21" s="242"/>
      <c r="G21" s="243"/>
      <c r="H21" s="243"/>
      <c r="I21" s="87"/>
      <c r="J21" s="231"/>
      <c r="K21" s="232"/>
      <c r="L21" s="232"/>
      <c r="M21" s="232"/>
      <c r="N21" s="232"/>
      <c r="O21" s="233"/>
      <c r="P21" s="129"/>
      <c r="Q21" s="231"/>
      <c r="R21" s="232"/>
      <c r="S21" s="232"/>
      <c r="T21" s="232"/>
      <c r="U21" s="232"/>
      <c r="V21" s="233"/>
      <c r="W21" s="88"/>
      <c r="X21" s="231"/>
      <c r="Y21" s="232"/>
      <c r="Z21" s="232"/>
      <c r="AA21" s="232"/>
      <c r="AB21" s="232"/>
      <c r="AC21" s="233"/>
      <c r="AE21" s="231"/>
      <c r="AF21" s="232"/>
      <c r="AG21" s="232"/>
      <c r="AH21" s="232"/>
      <c r="AI21" s="232"/>
      <c r="AJ21" s="233"/>
      <c r="AK21" s="134"/>
      <c r="AL21" s="231"/>
      <c r="AM21" s="232"/>
      <c r="AN21" s="232"/>
      <c r="AO21" s="232"/>
      <c r="AP21" s="232"/>
      <c r="AQ21" s="233"/>
      <c r="AR21" s="146"/>
      <c r="AS21" s="146"/>
      <c r="AT21" s="146"/>
      <c r="AU21" s="14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</row>
    <row r="22" spans="1:62" ht="6" customHeight="1" x14ac:dyDescent="0.3">
      <c r="A22" s="106"/>
      <c r="B22" s="242" t="str">
        <f>IF($Q$4="","",IF(OR(AND($BK$5=0,$E$26="SENSORE IR ESTERNO"),AND($BK$5=0,$T$26="SENSORE IR ESTERNO"),AND($BK$5=0,$AJ$26="SENSORE IR ESTERNO")),"90 w",IF($Q$4="JL COB esterna","100 w",IF($Q$4="JL COB incasso","100 w",IF(OR($Q$4="INCASSO DRITTA LINIE",$Q$4="INCASSO INCLINATA RIFT"),"60 w","48 w")))))</f>
        <v/>
      </c>
      <c r="C22" s="242"/>
      <c r="D22" s="242"/>
      <c r="E22" s="242"/>
      <c r="F22" s="242"/>
      <c r="G22" s="243"/>
      <c r="H22" s="243"/>
      <c r="I22" s="87"/>
      <c r="J22" s="231"/>
      <c r="K22" s="232"/>
      <c r="L22" s="232"/>
      <c r="M22" s="232"/>
      <c r="N22" s="232"/>
      <c r="O22" s="233"/>
      <c r="P22" s="131"/>
      <c r="Q22" s="231"/>
      <c r="R22" s="232"/>
      <c r="S22" s="232"/>
      <c r="T22" s="232"/>
      <c r="U22" s="232"/>
      <c r="V22" s="233"/>
      <c r="W22" s="131"/>
      <c r="X22" s="231"/>
      <c r="Y22" s="232"/>
      <c r="Z22" s="232"/>
      <c r="AA22" s="232"/>
      <c r="AB22" s="232"/>
      <c r="AC22" s="233"/>
      <c r="AD22" s="131"/>
      <c r="AE22" s="231"/>
      <c r="AF22" s="232"/>
      <c r="AG22" s="232"/>
      <c r="AH22" s="232"/>
      <c r="AI22" s="232"/>
      <c r="AJ22" s="233"/>
      <c r="AK22" s="134"/>
      <c r="AL22" s="231"/>
      <c r="AM22" s="232"/>
      <c r="AN22" s="232"/>
      <c r="AO22" s="232"/>
      <c r="AP22" s="232"/>
      <c r="AQ22" s="233"/>
      <c r="AR22" s="146"/>
      <c r="AS22" s="146"/>
      <c r="AT22" s="146"/>
      <c r="AU22" s="14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</row>
    <row r="23" spans="1:62" ht="6" customHeight="1" x14ac:dyDescent="0.3">
      <c r="A23" s="106"/>
      <c r="B23" s="242"/>
      <c r="C23" s="242"/>
      <c r="D23" s="242"/>
      <c r="E23" s="242"/>
      <c r="F23" s="242"/>
      <c r="G23" s="243"/>
      <c r="H23" s="243"/>
      <c r="I23" s="87"/>
      <c r="J23" s="231"/>
      <c r="K23" s="232"/>
      <c r="L23" s="232"/>
      <c r="M23" s="232"/>
      <c r="N23" s="232"/>
      <c r="O23" s="233"/>
      <c r="P23" s="131"/>
      <c r="Q23" s="231"/>
      <c r="R23" s="232"/>
      <c r="S23" s="232"/>
      <c r="T23" s="232"/>
      <c r="U23" s="232"/>
      <c r="V23" s="233"/>
      <c r="W23" s="131"/>
      <c r="X23" s="231"/>
      <c r="Y23" s="232"/>
      <c r="Z23" s="232"/>
      <c r="AA23" s="232"/>
      <c r="AB23" s="232"/>
      <c r="AC23" s="233"/>
      <c r="AD23" s="131"/>
      <c r="AE23" s="231"/>
      <c r="AF23" s="232"/>
      <c r="AG23" s="232"/>
      <c r="AH23" s="232"/>
      <c r="AI23" s="232"/>
      <c r="AJ23" s="233"/>
      <c r="AK23" s="134"/>
      <c r="AL23" s="231"/>
      <c r="AM23" s="232"/>
      <c r="AN23" s="232"/>
      <c r="AO23" s="232"/>
      <c r="AP23" s="232"/>
      <c r="AQ23" s="233"/>
      <c r="AR23" s="146"/>
      <c r="AS23" s="146"/>
      <c r="AT23" s="146"/>
      <c r="AU23" s="14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</row>
    <row r="24" spans="1:62" ht="6" customHeight="1" x14ac:dyDescent="0.3">
      <c r="A24" s="106"/>
      <c r="B24" s="242" t="str">
        <f>IF($Q$4="","",IF($Q$4="JL COB esterna","",IF($Q$4="JL COB incasso","",IF(OR($Q$4="INCASSO DRITTA LINIE",$Q$4="INCASSO INCLINATA RIFT"),"","90 w"))))</f>
        <v/>
      </c>
      <c r="C24" s="242"/>
      <c r="D24" s="242"/>
      <c r="E24" s="242"/>
      <c r="F24" s="242"/>
      <c r="G24" s="243"/>
      <c r="H24" s="243"/>
      <c r="I24" s="85"/>
      <c r="J24" s="231"/>
      <c r="K24" s="232"/>
      <c r="L24" s="232"/>
      <c r="M24" s="232"/>
      <c r="N24" s="232"/>
      <c r="O24" s="233"/>
      <c r="P24" s="89"/>
      <c r="Q24" s="231"/>
      <c r="R24" s="232"/>
      <c r="S24" s="232"/>
      <c r="T24" s="232"/>
      <c r="U24" s="232"/>
      <c r="V24" s="233"/>
      <c r="W24" s="89"/>
      <c r="X24" s="231"/>
      <c r="Y24" s="232"/>
      <c r="Z24" s="232"/>
      <c r="AA24" s="232"/>
      <c r="AB24" s="232"/>
      <c r="AC24" s="233"/>
      <c r="AD24" s="89"/>
      <c r="AE24" s="231"/>
      <c r="AF24" s="232"/>
      <c r="AG24" s="232"/>
      <c r="AH24" s="232"/>
      <c r="AI24" s="232"/>
      <c r="AJ24" s="233"/>
      <c r="AK24" s="90"/>
      <c r="AL24" s="231"/>
      <c r="AM24" s="232"/>
      <c r="AN24" s="232"/>
      <c r="AO24" s="232"/>
      <c r="AP24" s="232"/>
      <c r="AQ24" s="233"/>
      <c r="AR24" s="146"/>
      <c r="AS24" s="146"/>
      <c r="AT24" s="146"/>
      <c r="AU24" s="14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</row>
    <row r="25" spans="1:62" ht="6" customHeight="1" x14ac:dyDescent="0.3">
      <c r="A25" s="106"/>
      <c r="B25" s="242"/>
      <c r="C25" s="242"/>
      <c r="D25" s="242"/>
      <c r="E25" s="242"/>
      <c r="F25" s="242"/>
      <c r="G25" s="243"/>
      <c r="H25" s="243"/>
      <c r="I25" s="85"/>
      <c r="J25" s="234"/>
      <c r="K25" s="235"/>
      <c r="L25" s="235"/>
      <c r="M25" s="235"/>
      <c r="N25" s="235"/>
      <c r="O25" s="236"/>
      <c r="P25" s="89"/>
      <c r="Q25" s="234"/>
      <c r="R25" s="235"/>
      <c r="S25" s="235"/>
      <c r="T25" s="235"/>
      <c r="U25" s="235"/>
      <c r="V25" s="236"/>
      <c r="W25" s="89"/>
      <c r="X25" s="234"/>
      <c r="Y25" s="235"/>
      <c r="Z25" s="235"/>
      <c r="AA25" s="235"/>
      <c r="AB25" s="235"/>
      <c r="AC25" s="236"/>
      <c r="AD25" s="89"/>
      <c r="AE25" s="234"/>
      <c r="AF25" s="235"/>
      <c r="AG25" s="235"/>
      <c r="AH25" s="235"/>
      <c r="AI25" s="235"/>
      <c r="AJ25" s="236"/>
      <c r="AK25" s="90"/>
      <c r="AL25" s="234"/>
      <c r="AM25" s="235"/>
      <c r="AN25" s="235"/>
      <c r="AO25" s="235"/>
      <c r="AP25" s="235"/>
      <c r="AQ25" s="236"/>
      <c r="AR25" s="80"/>
      <c r="AS25" s="80"/>
      <c r="AT25" s="80"/>
      <c r="AU25" s="90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</row>
    <row r="26" spans="1:62" ht="6.9" customHeight="1" x14ac:dyDescent="0.3">
      <c r="A26" s="106"/>
      <c r="B26" s="257" t="s">
        <v>105</v>
      </c>
      <c r="C26" s="257"/>
      <c r="D26" s="257"/>
      <c r="E26" s="197"/>
      <c r="F26" s="197"/>
      <c r="G26" s="197"/>
      <c r="H26" s="197"/>
      <c r="I26" s="197"/>
      <c r="J26" s="251"/>
      <c r="K26" s="251"/>
      <c r="L26" s="251"/>
      <c r="M26" s="251"/>
      <c r="N26" s="251"/>
      <c r="O26" s="240" t="s">
        <v>113</v>
      </c>
      <c r="P26" s="200"/>
      <c r="Q26" s="241"/>
      <c r="R26" s="241"/>
      <c r="S26" s="113"/>
      <c r="T26" s="251"/>
      <c r="U26" s="251"/>
      <c r="V26" s="251"/>
      <c r="W26" s="197"/>
      <c r="X26" s="251"/>
      <c r="Y26" s="251"/>
      <c r="Z26" s="251"/>
      <c r="AA26" s="251"/>
      <c r="AB26" s="251"/>
      <c r="AC26" s="251"/>
      <c r="AD26" s="197"/>
      <c r="AE26" s="240" t="str">
        <f>IF($Q$26&lt;&gt;"","N°","")</f>
        <v/>
      </c>
      <c r="AF26" s="240"/>
      <c r="AG26" s="241"/>
      <c r="AH26" s="241"/>
      <c r="AI26" s="113"/>
      <c r="AJ26" s="251"/>
      <c r="AK26" s="197"/>
      <c r="AL26" s="251"/>
      <c r="AM26" s="251"/>
      <c r="AN26" s="251"/>
      <c r="AO26" s="251"/>
      <c r="AP26" s="251"/>
      <c r="AQ26" s="251"/>
      <c r="AR26" s="197"/>
      <c r="AS26" s="197"/>
      <c r="AT26" s="200" t="str">
        <f>IF($AG$26&lt;&gt;"","N°","")</f>
        <v/>
      </c>
      <c r="AU26" s="239"/>
      <c r="AV26" s="230"/>
      <c r="AW26" s="230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</row>
    <row r="27" spans="1:62" ht="6.9" customHeight="1" x14ac:dyDescent="0.3">
      <c r="A27" s="106"/>
      <c r="B27" s="257"/>
      <c r="C27" s="257"/>
      <c r="D27" s="25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200"/>
      <c r="P27" s="200"/>
      <c r="Q27" s="239"/>
      <c r="R27" s="239"/>
      <c r="S27" s="98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200"/>
      <c r="AF27" s="200"/>
      <c r="AG27" s="239"/>
      <c r="AH27" s="239"/>
      <c r="AI27" s="98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200"/>
      <c r="AU27" s="239"/>
      <c r="AV27" s="230"/>
      <c r="AW27" s="230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</row>
    <row r="28" spans="1:62" ht="6.9" customHeight="1" x14ac:dyDescent="0.3">
      <c r="A28" s="10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</row>
    <row r="29" spans="1:62" ht="6.9" customHeight="1" x14ac:dyDescent="0.3">
      <c r="A29" s="106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269"/>
      <c r="AK29" s="269"/>
      <c r="AL29" s="269"/>
      <c r="AM29" s="269"/>
      <c r="AN29" s="269"/>
      <c r="AO29" s="269"/>
      <c r="AP29" s="269"/>
      <c r="AQ29" s="269"/>
      <c r="AR29" s="269"/>
      <c r="AS29" s="269"/>
      <c r="AT29" s="269"/>
      <c r="AU29" s="269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</row>
    <row r="30" spans="1:62" ht="6.9" customHeight="1" x14ac:dyDescent="0.3">
      <c r="A30" s="106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269"/>
      <c r="AK30" s="269"/>
      <c r="AL30" s="269"/>
      <c r="AM30" s="269"/>
      <c r="AN30" s="269"/>
      <c r="AO30" s="269"/>
      <c r="AP30" s="269"/>
      <c r="AQ30" s="269"/>
      <c r="AR30" s="269"/>
      <c r="AS30" s="269"/>
      <c r="AT30" s="269"/>
      <c r="AU30" s="269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</row>
    <row r="31" spans="1:62" ht="6.9" customHeight="1" x14ac:dyDescent="0.3">
      <c r="A31" s="106"/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269"/>
      <c r="AK31" s="269"/>
      <c r="AL31" s="269"/>
      <c r="AM31" s="269"/>
      <c r="AN31" s="269"/>
      <c r="AO31" s="269"/>
      <c r="AP31" s="269"/>
      <c r="AQ31" s="269"/>
      <c r="AR31" s="269"/>
      <c r="AS31" s="269"/>
      <c r="AT31" s="269"/>
      <c r="AU31" s="269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</row>
    <row r="32" spans="1:62" ht="6.9" customHeight="1" x14ac:dyDescent="0.3">
      <c r="A32" s="106"/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269"/>
      <c r="AK32" s="269"/>
      <c r="AL32" s="269"/>
      <c r="AM32" s="269"/>
      <c r="AN32" s="269"/>
      <c r="AO32" s="269"/>
      <c r="AP32" s="269"/>
      <c r="AQ32" s="269"/>
      <c r="AR32" s="269"/>
      <c r="AS32" s="269"/>
      <c r="AT32" s="269"/>
      <c r="AU32" s="269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</row>
    <row r="33" spans="1:62" ht="6.9" customHeight="1" x14ac:dyDescent="0.3">
      <c r="A33" s="106"/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</row>
    <row r="34" spans="1:62" ht="3" customHeight="1" x14ac:dyDescent="0.3">
      <c r="A34" s="106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269"/>
      <c r="AK34" s="269"/>
      <c r="AL34" s="269"/>
      <c r="AM34" s="269"/>
      <c r="AN34" s="269"/>
      <c r="AO34" s="269"/>
      <c r="AP34" s="269"/>
      <c r="AQ34" s="269"/>
      <c r="AR34" s="269"/>
      <c r="AS34" s="269"/>
      <c r="AT34" s="269"/>
      <c r="AU34" s="269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</row>
    <row r="35" spans="1:62" ht="6.9" customHeight="1" x14ac:dyDescent="0.3">
      <c r="A35" s="106"/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</row>
    <row r="36" spans="1:62" ht="6.9" customHeight="1" x14ac:dyDescent="0.3">
      <c r="A36" s="106"/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</row>
    <row r="37" spans="1:62" ht="3" customHeight="1" x14ac:dyDescent="0.3">
      <c r="A37" s="10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269"/>
      <c r="AK37" s="269"/>
      <c r="AL37" s="269"/>
      <c r="AM37" s="269"/>
      <c r="AN37" s="269"/>
      <c r="AO37" s="269"/>
      <c r="AP37" s="269"/>
      <c r="AQ37" s="269"/>
      <c r="AR37" s="269"/>
      <c r="AS37" s="269"/>
      <c r="AT37" s="269"/>
      <c r="AU37" s="269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</row>
    <row r="38" spans="1:62" ht="6.9" customHeight="1" x14ac:dyDescent="0.3">
      <c r="A38" s="106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269"/>
      <c r="AK38" s="269"/>
      <c r="AL38" s="269"/>
      <c r="AM38" s="269"/>
      <c r="AN38" s="269"/>
      <c r="AO38" s="269"/>
      <c r="AP38" s="269"/>
      <c r="AQ38" s="269"/>
      <c r="AR38" s="269"/>
      <c r="AS38" s="269"/>
      <c r="AT38" s="269"/>
      <c r="AU38" s="269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</row>
    <row r="39" spans="1:62" ht="6.9" customHeight="1" x14ac:dyDescent="0.3">
      <c r="A39" s="106"/>
      <c r="B39" s="177"/>
      <c r="C39" s="177"/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269"/>
      <c r="AK39" s="269"/>
      <c r="AL39" s="269"/>
      <c r="AM39" s="269"/>
      <c r="AN39" s="269"/>
      <c r="AO39" s="269"/>
      <c r="AP39" s="269"/>
      <c r="AQ39" s="269"/>
      <c r="AR39" s="269"/>
      <c r="AS39" s="269"/>
      <c r="AT39" s="269"/>
      <c r="AU39" s="269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</row>
    <row r="40" spans="1:62" ht="3" customHeight="1" x14ac:dyDescent="0.3">
      <c r="A40" s="106"/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269"/>
      <c r="AK40" s="269"/>
      <c r="AL40" s="269"/>
      <c r="AM40" s="269"/>
      <c r="AN40" s="269"/>
      <c r="AO40" s="269"/>
      <c r="AP40" s="269"/>
      <c r="AQ40" s="269"/>
      <c r="AR40" s="269"/>
      <c r="AS40" s="269"/>
      <c r="AT40" s="269"/>
      <c r="AU40" s="269"/>
      <c r="AV40" s="106"/>
      <c r="AW40" s="106"/>
      <c r="AX40" s="106"/>
      <c r="AY40" s="106"/>
      <c r="AZ40" s="106"/>
      <c r="BA40" s="106"/>
      <c r="BB40" s="106"/>
      <c r="BC40" s="106"/>
      <c r="BD40" s="106"/>
      <c r="BE40" s="106"/>
      <c r="BF40" s="106"/>
      <c r="BG40" s="106"/>
      <c r="BH40" s="106"/>
      <c r="BI40" s="106"/>
      <c r="BJ40" s="106"/>
    </row>
    <row r="41" spans="1:62" ht="8.1" customHeight="1" x14ac:dyDescent="0.3">
      <c r="A41" s="106"/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269"/>
      <c r="AK41" s="269"/>
      <c r="AL41" s="269"/>
      <c r="AM41" s="269"/>
      <c r="AN41" s="269"/>
      <c r="AO41" s="269"/>
      <c r="AP41" s="269"/>
      <c r="AQ41" s="269"/>
      <c r="AR41" s="269"/>
      <c r="AS41" s="269"/>
      <c r="AT41" s="269"/>
      <c r="AU41" s="269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</row>
    <row r="42" spans="1:62" ht="8.1" customHeight="1" x14ac:dyDescent="0.3">
      <c r="A42" s="106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269"/>
      <c r="AK42" s="269"/>
      <c r="AL42" s="269"/>
      <c r="AM42" s="269"/>
      <c r="AN42" s="269"/>
      <c r="AO42" s="269"/>
      <c r="AP42" s="269"/>
      <c r="AQ42" s="269"/>
      <c r="AR42" s="269"/>
      <c r="AS42" s="269"/>
      <c r="AT42" s="269"/>
      <c r="AU42" s="269"/>
      <c r="AV42" s="106"/>
      <c r="AW42" s="106"/>
      <c r="AX42" s="106"/>
      <c r="AY42" s="106"/>
      <c r="AZ42" s="106"/>
      <c r="BA42" s="106"/>
      <c r="BB42" s="106"/>
      <c r="BC42" s="106"/>
      <c r="BD42" s="106"/>
      <c r="BE42" s="106"/>
      <c r="BF42" s="106"/>
      <c r="BG42" s="106"/>
      <c r="BH42" s="106"/>
      <c r="BI42" s="106"/>
      <c r="BJ42" s="106"/>
    </row>
    <row r="43" spans="1:62" ht="8.1" customHeight="1" x14ac:dyDescent="0.3">
      <c r="A43" s="106"/>
      <c r="B43" s="177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269"/>
      <c r="AK43" s="269"/>
      <c r="AL43" s="269"/>
      <c r="AM43" s="269"/>
      <c r="AN43" s="269"/>
      <c r="AO43" s="269"/>
      <c r="AP43" s="269"/>
      <c r="AQ43" s="269"/>
      <c r="AR43" s="269"/>
      <c r="AS43" s="269"/>
      <c r="AT43" s="269"/>
      <c r="AU43" s="269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</row>
    <row r="44" spans="1:62" ht="9.9" customHeight="1" x14ac:dyDescent="0.3">
      <c r="A44" s="106"/>
      <c r="B44" s="177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7"/>
      <c r="N44" s="177"/>
      <c r="O44" s="177"/>
      <c r="P44" s="177"/>
      <c r="Q44" s="177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269"/>
      <c r="AK44" s="269"/>
      <c r="AL44" s="269"/>
      <c r="AM44" s="269"/>
      <c r="AN44" s="269"/>
      <c r="AO44" s="269"/>
      <c r="AP44" s="269"/>
      <c r="AQ44" s="269"/>
      <c r="AR44" s="269"/>
      <c r="AS44" s="269"/>
      <c r="AT44" s="269"/>
      <c r="AU44" s="269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</row>
    <row r="45" spans="1:62" ht="9.9" customHeight="1" x14ac:dyDescent="0.3">
      <c r="A45" s="106"/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7"/>
      <c r="Q45" s="177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269"/>
      <c r="AK45" s="269"/>
      <c r="AL45" s="269"/>
      <c r="AM45" s="269"/>
      <c r="AN45" s="269"/>
      <c r="AO45" s="269"/>
      <c r="AP45" s="269"/>
      <c r="AQ45" s="269"/>
      <c r="AR45" s="269"/>
      <c r="AS45" s="269"/>
      <c r="AT45" s="269"/>
      <c r="AU45" s="269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</row>
    <row r="46" spans="1:62" ht="9.9" customHeight="1" x14ac:dyDescent="0.3">
      <c r="A46" s="106"/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269"/>
      <c r="AK46" s="269"/>
      <c r="AL46" s="269"/>
      <c r="AM46" s="269"/>
      <c r="AN46" s="269"/>
      <c r="AO46" s="269"/>
      <c r="AP46" s="269"/>
      <c r="AQ46" s="269"/>
      <c r="AR46" s="269"/>
      <c r="AS46" s="269"/>
      <c r="AT46" s="269"/>
      <c r="AU46" s="269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6"/>
    </row>
    <row r="47" spans="1:62" ht="9.9" customHeight="1" x14ac:dyDescent="0.3">
      <c r="A47" s="106"/>
      <c r="B47" s="177"/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269"/>
      <c r="AK47" s="269"/>
      <c r="AL47" s="269"/>
      <c r="AM47" s="269"/>
      <c r="AN47" s="269"/>
      <c r="AO47" s="269"/>
      <c r="AP47" s="269"/>
      <c r="AQ47" s="269"/>
      <c r="AR47" s="269"/>
      <c r="AS47" s="269"/>
      <c r="AT47" s="269"/>
      <c r="AU47" s="269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</row>
    <row r="48" spans="1:62" ht="9.9" customHeight="1" x14ac:dyDescent="0.3">
      <c r="A48" s="106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269"/>
      <c r="AK48" s="269"/>
      <c r="AL48" s="269"/>
      <c r="AM48" s="269"/>
      <c r="AN48" s="269"/>
      <c r="AO48" s="269"/>
      <c r="AP48" s="269"/>
      <c r="AQ48" s="269"/>
      <c r="AR48" s="269"/>
      <c r="AS48" s="269"/>
      <c r="AT48" s="269"/>
      <c r="AU48" s="269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</row>
    <row r="49" spans="1:62" ht="9.9" customHeight="1" x14ac:dyDescent="0.3">
      <c r="A49" s="106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269"/>
      <c r="AK49" s="269"/>
      <c r="AL49" s="269"/>
      <c r="AM49" s="269"/>
      <c r="AN49" s="269"/>
      <c r="AO49" s="269"/>
      <c r="AP49" s="269"/>
      <c r="AQ49" s="269"/>
      <c r="AR49" s="269"/>
      <c r="AS49" s="269"/>
      <c r="AT49" s="269"/>
      <c r="AU49" s="269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</row>
    <row r="50" spans="1:62" ht="9.9" customHeight="1" x14ac:dyDescent="0.3">
      <c r="A50" s="106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269"/>
      <c r="AK50" s="269"/>
      <c r="AL50" s="269"/>
      <c r="AM50" s="269"/>
      <c r="AN50" s="269"/>
      <c r="AO50" s="269"/>
      <c r="AP50" s="269"/>
      <c r="AQ50" s="269"/>
      <c r="AR50" s="269"/>
      <c r="AS50" s="269"/>
      <c r="AT50" s="269"/>
      <c r="AU50" s="269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</row>
    <row r="51" spans="1:62" ht="9.9" customHeight="1" x14ac:dyDescent="0.3">
      <c r="A51" s="106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69"/>
      <c r="AU51" s="269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</row>
    <row r="52" spans="1:62" ht="9.9" customHeight="1" x14ac:dyDescent="0.3">
      <c r="A52" s="106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269"/>
      <c r="AK52" s="269"/>
      <c r="AL52" s="269"/>
      <c r="AM52" s="269"/>
      <c r="AN52" s="269"/>
      <c r="AO52" s="269"/>
      <c r="AP52" s="269"/>
      <c r="AQ52" s="269"/>
      <c r="AR52" s="269"/>
      <c r="AS52" s="269"/>
      <c r="AT52" s="269"/>
      <c r="AU52" s="269"/>
      <c r="AV52" s="106"/>
      <c r="AW52" s="106"/>
      <c r="AX52" s="106"/>
      <c r="AY52" s="106"/>
      <c r="AZ52" s="106"/>
      <c r="BA52" s="106"/>
      <c r="BB52" s="106"/>
      <c r="BC52" s="106"/>
      <c r="BD52" s="106"/>
      <c r="BE52" s="106"/>
      <c r="BF52" s="106"/>
      <c r="BG52" s="106"/>
      <c r="BH52" s="106"/>
      <c r="BI52" s="106"/>
      <c r="BJ52" s="106"/>
    </row>
    <row r="53" spans="1:62" ht="9.9" customHeight="1" x14ac:dyDescent="0.3">
      <c r="A53" s="106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269"/>
      <c r="AK53" s="269"/>
      <c r="AL53" s="269"/>
      <c r="AM53" s="269"/>
      <c r="AN53" s="269"/>
      <c r="AO53" s="269"/>
      <c r="AP53" s="269"/>
      <c r="AQ53" s="269"/>
      <c r="AR53" s="269"/>
      <c r="AS53" s="269"/>
      <c r="AT53" s="269"/>
      <c r="AU53" s="269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</row>
    <row r="54" spans="1:62" ht="9.9" customHeight="1" x14ac:dyDescent="0.3">
      <c r="A54" s="106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269"/>
      <c r="AK54" s="269"/>
      <c r="AL54" s="269"/>
      <c r="AM54" s="269"/>
      <c r="AN54" s="269"/>
      <c r="AO54" s="269"/>
      <c r="AP54" s="269"/>
      <c r="AQ54" s="269"/>
      <c r="AR54" s="269"/>
      <c r="AS54" s="269"/>
      <c r="AT54" s="269"/>
      <c r="AU54" s="269"/>
      <c r="AV54" s="106"/>
      <c r="AW54" s="106"/>
      <c r="AX54" s="106"/>
      <c r="AY54" s="106"/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</row>
    <row r="55" spans="1:62" ht="14.1" customHeight="1" x14ac:dyDescent="0.3">
      <c r="A55" s="106"/>
      <c r="B55" s="272" t="str">
        <f>IF($A$123&lt;&gt;0,"DARE N°","")</f>
        <v/>
      </c>
      <c r="C55" s="272"/>
      <c r="D55" s="272"/>
      <c r="E55" s="123" t="str">
        <f>IF($A$123&lt;&gt;0,$A$123,"")</f>
        <v/>
      </c>
      <c r="F55" s="273" t="str">
        <f>IF($A$123&lt;&gt;0,"DISTRIBUTORE LINIED","")</f>
        <v/>
      </c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2" t="str">
        <f>IF($A$123&lt;&gt;0,"DARE N°","")</f>
        <v/>
      </c>
      <c r="S55" s="272"/>
      <c r="T55" s="272"/>
      <c r="U55" s="272"/>
      <c r="V55" s="274" t="str">
        <f>IF($A$123&lt;&gt;0,$A$123,"")</f>
        <v/>
      </c>
      <c r="W55" s="274"/>
      <c r="X55" s="273" t="str">
        <f>IF($A$123&lt;&gt;0,"PROLUNGA MECREELPP","")</f>
        <v/>
      </c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106"/>
      <c r="AW55" s="106"/>
      <c r="AX55" s="106"/>
      <c r="AY55" s="106"/>
      <c r="AZ55" s="106"/>
      <c r="BA55" s="106"/>
      <c r="BB55" s="106"/>
      <c r="BC55" s="106"/>
      <c r="BD55" s="106"/>
      <c r="BE55" s="106"/>
      <c r="BF55" s="106"/>
      <c r="BG55" s="106"/>
      <c r="BH55" s="106"/>
      <c r="BI55" s="106"/>
      <c r="BJ55" s="106"/>
    </row>
    <row r="56" spans="1:62" ht="6.9" customHeight="1" x14ac:dyDescent="0.3">
      <c r="A56" s="106"/>
      <c r="B56" s="180"/>
      <c r="C56" s="182" t="s">
        <v>107</v>
      </c>
      <c r="D56" s="182"/>
      <c r="E56" s="182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06"/>
      <c r="AW56" s="106"/>
      <c r="AX56" s="106"/>
      <c r="AY56" s="106"/>
      <c r="AZ56" s="106"/>
      <c r="BA56" s="106"/>
      <c r="BB56" s="106"/>
      <c r="BC56" s="106"/>
      <c r="BD56" s="106"/>
      <c r="BE56" s="106"/>
      <c r="BF56" s="106"/>
      <c r="BG56" s="106"/>
      <c r="BH56" s="106"/>
      <c r="BI56" s="106"/>
      <c r="BJ56" s="106"/>
    </row>
    <row r="57" spans="1:62" ht="6.9" customHeight="1" x14ac:dyDescent="0.3">
      <c r="A57" s="106"/>
      <c r="B57" s="181"/>
      <c r="C57" s="183"/>
      <c r="D57" s="183"/>
      <c r="E57" s="183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  <c r="AR57" s="179"/>
      <c r="AS57" s="179"/>
      <c r="AT57" s="179"/>
      <c r="AU57" s="179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</row>
    <row r="58" spans="1:62" ht="15" customHeight="1" x14ac:dyDescent="0.3">
      <c r="A58" s="106"/>
      <c r="B58" s="181"/>
      <c r="C58" s="183"/>
      <c r="D58" s="183"/>
      <c r="E58" s="183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  <c r="AH58" s="271"/>
      <c r="AI58" s="271"/>
      <c r="AJ58" s="271"/>
      <c r="AK58" s="271"/>
      <c r="AL58" s="271"/>
      <c r="AM58" s="271"/>
      <c r="AN58" s="271"/>
      <c r="AO58" s="271"/>
      <c r="AP58" s="271"/>
      <c r="AQ58" s="271"/>
      <c r="AR58" s="271"/>
      <c r="AS58" s="271"/>
      <c r="AT58" s="271"/>
      <c r="AU58" s="271"/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  <c r="BI58" s="106"/>
      <c r="BJ58" s="106"/>
    </row>
    <row r="59" spans="1:62" ht="15" customHeight="1" x14ac:dyDescent="0.3">
      <c r="A59" s="106"/>
      <c r="B59" s="146" t="s">
        <v>88</v>
      </c>
      <c r="C59" s="146"/>
      <c r="D59" s="146"/>
      <c r="E59" s="146"/>
      <c r="F59" s="146"/>
      <c r="G59" s="193">
        <f>P2</f>
        <v>0</v>
      </c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91"/>
      <c r="AA59" s="280"/>
      <c r="AB59" s="280"/>
      <c r="AC59" s="280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106"/>
      <c r="AW59" s="106"/>
      <c r="AX59" s="106"/>
      <c r="AY59" s="106"/>
      <c r="AZ59" s="106"/>
      <c r="BA59" s="106"/>
      <c r="BB59" s="106"/>
      <c r="BC59" s="106"/>
      <c r="BD59" s="106"/>
      <c r="BE59" s="106"/>
      <c r="BF59" s="106"/>
      <c r="BG59" s="106"/>
      <c r="BH59" s="106"/>
      <c r="BI59" s="106"/>
      <c r="BJ59" s="106"/>
    </row>
    <row r="60" spans="1:62" ht="15" customHeight="1" x14ac:dyDescent="0.3">
      <c r="A60" s="106"/>
      <c r="B60" s="146" t="s">
        <v>28</v>
      </c>
      <c r="C60" s="146"/>
      <c r="D60" s="193">
        <f>AH2</f>
        <v>0</v>
      </c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46" t="s">
        <v>29</v>
      </c>
      <c r="S60" s="146"/>
      <c r="T60" s="146"/>
      <c r="U60" s="250" t="str">
        <f>IF(AT2&lt;&gt;"",AT2,"")</f>
        <v/>
      </c>
      <c r="V60" s="250"/>
      <c r="W60" s="250"/>
      <c r="X60" s="250"/>
      <c r="Y60" s="250"/>
      <c r="Z60" s="94"/>
      <c r="AA60" s="280"/>
      <c r="AB60" s="280"/>
      <c r="AC60" s="280"/>
      <c r="AD60" s="280"/>
      <c r="AE60" s="280"/>
      <c r="AF60" s="280"/>
      <c r="AG60" s="280"/>
      <c r="AH60" s="280"/>
      <c r="AI60" s="280"/>
      <c r="AJ60" s="280"/>
      <c r="AK60" s="280"/>
      <c r="AL60" s="280"/>
      <c r="AM60" s="280"/>
      <c r="AN60" s="280"/>
      <c r="AO60" s="280"/>
      <c r="AP60" s="280"/>
      <c r="AQ60" s="280"/>
      <c r="AR60" s="280"/>
      <c r="AS60" s="280"/>
      <c r="AT60" s="280"/>
      <c r="AU60" s="280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</row>
    <row r="61" spans="1:62" ht="15" customHeight="1" x14ac:dyDescent="0.3">
      <c r="A61" s="107"/>
      <c r="B61" s="194" t="str">
        <f>J4</f>
        <v>LAMPADA :</v>
      </c>
      <c r="C61" s="195"/>
      <c r="D61" s="195"/>
      <c r="E61" s="258">
        <f>Q4</f>
        <v>0</v>
      </c>
      <c r="F61" s="258"/>
      <c r="G61" s="258"/>
      <c r="H61" s="258"/>
      <c r="I61" s="258"/>
      <c r="J61" s="258"/>
      <c r="K61" s="258"/>
      <c r="L61" s="258"/>
      <c r="M61" s="258"/>
      <c r="N61" s="259"/>
      <c r="O61" s="247" t="s">
        <v>139</v>
      </c>
      <c r="P61" s="248"/>
      <c r="Q61" s="248"/>
      <c r="R61" s="248"/>
      <c r="S61" s="248"/>
      <c r="T61" s="248"/>
      <c r="U61" s="248"/>
      <c r="V61" s="248"/>
      <c r="W61" s="248"/>
      <c r="X61" s="248"/>
      <c r="Y61" s="248"/>
      <c r="Z61" s="248"/>
      <c r="AA61" s="248"/>
      <c r="AB61" s="248"/>
      <c r="AC61" s="248"/>
      <c r="AD61" s="281"/>
      <c r="AE61" s="281"/>
      <c r="AF61" s="281"/>
      <c r="AG61" s="281"/>
      <c r="AH61" s="281"/>
      <c r="AI61" s="281"/>
      <c r="AJ61" s="281"/>
      <c r="AK61" s="281"/>
      <c r="AL61" s="281"/>
      <c r="AM61" s="281"/>
      <c r="AN61" s="275"/>
      <c r="AO61" s="275"/>
      <c r="AP61" s="275"/>
      <c r="AQ61" s="275"/>
      <c r="AR61" s="275"/>
      <c r="AS61" s="275"/>
      <c r="AT61" s="275"/>
      <c r="AU61" s="275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</row>
    <row r="62" spans="1:62" ht="15" customHeight="1" x14ac:dyDescent="0.3">
      <c r="A62" s="107"/>
      <c r="B62" s="260"/>
      <c r="C62" s="260"/>
      <c r="D62" s="260"/>
      <c r="E62" s="260"/>
      <c r="F62" s="261"/>
      <c r="G62" s="99" t="s">
        <v>120</v>
      </c>
      <c r="H62" s="262" t="s">
        <v>121</v>
      </c>
      <c r="I62" s="262"/>
      <c r="J62" s="262"/>
      <c r="K62" s="262"/>
      <c r="L62" s="92"/>
      <c r="M62" s="92"/>
      <c r="N62" s="92"/>
      <c r="O62" s="249" t="s">
        <v>186</v>
      </c>
      <c r="P62" s="249"/>
      <c r="Q62" s="249"/>
      <c r="R62" s="249"/>
      <c r="S62" s="249"/>
      <c r="T62" s="249"/>
      <c r="U62" s="249"/>
      <c r="V62" s="249"/>
      <c r="W62" s="249"/>
      <c r="X62" s="249"/>
      <c r="Y62" s="249"/>
      <c r="Z62" s="249"/>
      <c r="AA62" s="282"/>
      <c r="AB62" s="282"/>
      <c r="AC62" s="282"/>
      <c r="AD62" s="282"/>
      <c r="AE62" s="282"/>
      <c r="AF62" s="117"/>
      <c r="AG62" s="282"/>
      <c r="AH62" s="282"/>
      <c r="AI62" s="282"/>
      <c r="AJ62" s="282"/>
      <c r="AK62" s="92"/>
      <c r="AL62" s="92"/>
      <c r="AM62" s="92"/>
      <c r="AN62" s="275"/>
      <c r="AO62" s="275"/>
      <c r="AP62" s="275"/>
      <c r="AQ62" s="275"/>
      <c r="AR62" s="275"/>
      <c r="AS62" s="275"/>
      <c r="AT62" s="275"/>
      <c r="AU62" s="275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</row>
    <row r="63" spans="1:62" ht="12" customHeight="1" x14ac:dyDescent="0.35">
      <c r="A63" s="108"/>
      <c r="B63" s="148" t="s">
        <v>122</v>
      </c>
      <c r="C63" s="149"/>
      <c r="D63" s="150" t="str">
        <f>IF($M$12&lt;&gt;"",$M$12,$J$11)&amp;" mm"</f>
        <v xml:space="preserve"> mm</v>
      </c>
      <c r="E63" s="150"/>
      <c r="F63" s="151"/>
      <c r="G63" s="152">
        <f>$J$7</f>
        <v>0</v>
      </c>
      <c r="H63" s="147" t="str">
        <f>IF(G63&gt;0,IF($E$61="INCASSO INCLINATA RIFT",DATI!$E$105*2,IF($E$61="INCASSO DRITTA LINIE",DATI!$E$117*2,IF(G63&gt;0,IF($E$61="SPORGENTE DRITTA MEC 1 profilo GRIGIO",DATI!$E$18*2,IF(G63&gt;0,IF($E$61="SPORGENTE DRITTA MEC 1 profilo NERO",DATI!$E$18*2,IF($E$61="INCASSO DRITTA MEC 2",DATI!$E$41*2,IF($E$61="SPORGENTE INCLINATA MEC 3 profilo GRIGIO",DATI!$E$64*2,IF($E$61="SPORGENTE INCLINATA MEC 3 profilo NERO",DATI!$E$64*2,IF($E$61="INCASSO INCLINATA MEC 4",DATI!$E$87*2,IF($E$61="JL COB esterna",DATI!$E$134*2,IF($E$61="JL COB incasso",DATI!$E$150*2))))))),""))))),"")</f>
        <v/>
      </c>
      <c r="I63" s="147"/>
      <c r="J63" s="147"/>
      <c r="K63" s="147"/>
      <c r="L63" s="71"/>
      <c r="M63" s="88"/>
      <c r="N63" s="88"/>
      <c r="O63" s="88"/>
      <c r="P63" s="88"/>
      <c r="Q63" s="88"/>
      <c r="R63" s="88"/>
      <c r="S63" s="88"/>
      <c r="T63" s="103"/>
      <c r="U63" s="103"/>
      <c r="V63" s="103"/>
      <c r="W63" s="103"/>
      <c r="X63" s="72"/>
      <c r="Y63" s="72"/>
      <c r="Z63" s="72"/>
      <c r="AA63" s="154"/>
      <c r="AB63" s="154"/>
      <c r="AC63" s="159"/>
      <c r="AD63" s="159"/>
      <c r="AE63" s="159"/>
      <c r="AF63" s="263"/>
      <c r="AG63" s="188"/>
      <c r="AH63" s="188"/>
      <c r="AI63" s="188"/>
      <c r="AJ63" s="188"/>
      <c r="AK63" s="71"/>
      <c r="AL63" s="88"/>
      <c r="AM63" s="88"/>
      <c r="AN63" s="275"/>
      <c r="AO63" s="275"/>
      <c r="AP63" s="275"/>
      <c r="AQ63" s="275"/>
      <c r="AR63" s="275"/>
      <c r="AS63" s="275"/>
      <c r="AT63" s="275"/>
      <c r="AU63" s="275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</row>
    <row r="64" spans="1:62" ht="12" customHeight="1" x14ac:dyDescent="0.3">
      <c r="A64" s="106"/>
      <c r="B64" s="153" t="s">
        <v>119</v>
      </c>
      <c r="C64" s="154"/>
      <c r="D64" s="155">
        <f>J8</f>
        <v>0</v>
      </c>
      <c r="E64" s="155"/>
      <c r="F64" s="156"/>
      <c r="G64" s="152"/>
      <c r="H64" s="147"/>
      <c r="I64" s="147"/>
      <c r="J64" s="147"/>
      <c r="K64" s="147"/>
      <c r="L64" s="100"/>
      <c r="M64" s="101"/>
      <c r="N64" s="101"/>
      <c r="O64" s="101"/>
      <c r="P64" s="101"/>
      <c r="Q64" s="101"/>
      <c r="R64" s="89"/>
      <c r="S64" s="89"/>
      <c r="AA64" s="154"/>
      <c r="AB64" s="154"/>
      <c r="AC64" s="155"/>
      <c r="AD64" s="155"/>
      <c r="AE64" s="155"/>
      <c r="AF64" s="263"/>
      <c r="AG64" s="188"/>
      <c r="AH64" s="188"/>
      <c r="AI64" s="188"/>
      <c r="AJ64" s="188"/>
      <c r="AK64" s="100"/>
      <c r="AL64" s="101"/>
      <c r="AM64" s="101"/>
      <c r="AV64" s="106"/>
      <c r="AW64" s="106"/>
      <c r="AX64" s="106"/>
      <c r="AY64" s="106"/>
      <c r="AZ64" s="106"/>
      <c r="BA64" s="106"/>
      <c r="BB64" s="106"/>
      <c r="BC64" s="106"/>
      <c r="BD64" s="106"/>
      <c r="BE64" s="106"/>
      <c r="BF64" s="106"/>
      <c r="BG64" s="106"/>
      <c r="BH64" s="106"/>
      <c r="BI64" s="106"/>
      <c r="BJ64" s="106"/>
    </row>
    <row r="65" spans="1:62" ht="12" customHeight="1" x14ac:dyDescent="0.3">
      <c r="A65" s="106"/>
      <c r="B65" s="157" t="s">
        <v>117</v>
      </c>
      <c r="C65" s="158"/>
      <c r="D65" s="159">
        <f>J14</f>
        <v>0</v>
      </c>
      <c r="E65" s="159"/>
      <c r="F65" s="160"/>
      <c r="G65" s="152"/>
      <c r="H65" s="147"/>
      <c r="I65" s="147"/>
      <c r="J65" s="147"/>
      <c r="K65" s="147"/>
      <c r="L65" s="101"/>
      <c r="M65" s="101"/>
      <c r="N65" s="101"/>
      <c r="O65" s="101"/>
      <c r="P65" s="101"/>
      <c r="Q65" s="101"/>
      <c r="R65" s="89"/>
      <c r="S65" s="89"/>
      <c r="AA65" s="158"/>
      <c r="AB65" s="158"/>
      <c r="AC65" s="159"/>
      <c r="AD65" s="159"/>
      <c r="AE65" s="159"/>
      <c r="AF65" s="263"/>
      <c r="AG65" s="188"/>
      <c r="AH65" s="188"/>
      <c r="AI65" s="188"/>
      <c r="AJ65" s="188"/>
      <c r="AK65" s="101"/>
      <c r="AL65" s="101"/>
      <c r="AM65" s="101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</row>
    <row r="66" spans="1:62" ht="12" customHeight="1" x14ac:dyDescent="0.3">
      <c r="A66" s="106"/>
      <c r="B66" s="93" t="s">
        <v>118</v>
      </c>
      <c r="C66" s="161">
        <f>J10</f>
        <v>0</v>
      </c>
      <c r="D66" s="161"/>
      <c r="E66" s="161"/>
      <c r="F66" s="162"/>
      <c r="G66" s="152"/>
      <c r="H66" s="147"/>
      <c r="I66" s="147"/>
      <c r="J66" s="147"/>
      <c r="K66" s="147"/>
      <c r="L66" s="82"/>
      <c r="M66" s="101"/>
      <c r="N66" s="101"/>
      <c r="O66" s="101"/>
      <c r="P66" s="101"/>
      <c r="Q66" s="101"/>
      <c r="R66" s="89"/>
      <c r="S66" s="89"/>
      <c r="AA66" s="116"/>
      <c r="AB66" s="246"/>
      <c r="AC66" s="246"/>
      <c r="AD66" s="246"/>
      <c r="AE66" s="246"/>
      <c r="AF66" s="263"/>
      <c r="AG66" s="188"/>
      <c r="AH66" s="188"/>
      <c r="AI66" s="188"/>
      <c r="AJ66" s="188"/>
      <c r="AK66" s="82"/>
      <c r="AL66" s="101"/>
      <c r="AM66" s="101"/>
      <c r="AV66" s="106"/>
      <c r="AW66" s="106"/>
      <c r="AX66" s="106"/>
      <c r="AY66" s="106"/>
      <c r="AZ66" s="106"/>
      <c r="BA66" s="106"/>
      <c r="BB66" s="106"/>
      <c r="BC66" s="106"/>
      <c r="BD66" s="106"/>
      <c r="BE66" s="106"/>
      <c r="BF66" s="106"/>
      <c r="BG66" s="106"/>
      <c r="BH66" s="106"/>
      <c r="BI66" s="106"/>
      <c r="BJ66" s="106"/>
    </row>
    <row r="67" spans="1:62" ht="5.0999999999999996" customHeight="1" x14ac:dyDescent="0.3">
      <c r="A67" s="106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73"/>
      <c r="N67" s="73"/>
      <c r="O67" s="73"/>
      <c r="P67" s="80"/>
      <c r="Q67" s="80"/>
      <c r="R67" s="80"/>
      <c r="S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73"/>
      <c r="AM67" s="73"/>
      <c r="AV67" s="106"/>
      <c r="AW67" s="106"/>
      <c r="AX67" s="106"/>
      <c r="AY67" s="106"/>
      <c r="AZ67" s="106"/>
      <c r="BA67" s="106"/>
      <c r="BB67" s="106"/>
      <c r="BC67" s="106"/>
      <c r="BD67" s="106"/>
      <c r="BE67" s="106"/>
      <c r="BF67" s="106"/>
      <c r="BG67" s="106"/>
      <c r="BH67" s="106"/>
      <c r="BI67" s="106"/>
      <c r="BJ67" s="106"/>
    </row>
    <row r="68" spans="1:62" ht="12" customHeight="1" x14ac:dyDescent="0.3">
      <c r="A68" s="106"/>
      <c r="B68" s="148" t="s">
        <v>122</v>
      </c>
      <c r="C68" s="149"/>
      <c r="D68" s="150" t="str">
        <f>IF($T$12&lt;&gt;"",$T$12,$Q$11)&amp;" mm"</f>
        <v xml:space="preserve"> mm</v>
      </c>
      <c r="E68" s="150"/>
      <c r="F68" s="151"/>
      <c r="G68" s="152">
        <f>$Q$7</f>
        <v>0</v>
      </c>
      <c r="H68" s="147" t="str">
        <f>IF(G68&gt;0,IF($E$61="INCASSO INCLINATA RIFT",DATI!$G$105*2,IF($E$61="INCASSO DRITTA LINIE",DATI!$G$117*2,IF(G68&gt;0,IF($E$61="SPORGENTE DRITTA MEC 1 profilo GRIGIO",DATI!$G$18*2,IF(G68&gt;0,IF($E$61="SPORGENTE DRITTA MEC 1 profilo NERO",DATI!$G$18*2,IF($E$61="INCASSO DRITTA MEC 2",DATI!$G$41*2,IF($E$61="SPORGENTE INCLINATA MEC 3 profilo GRIGIO",DATI!$G$64*2,IF($E$61="SPORGENTE INCLINATA MEC 3 profilo NERO",DATI!$G$64*2,IF($E$61="INCASSO INCLINATA MEC 4",DATI!$G$87*2,IF($E$61="JL COB esterna",DATI!$G$134*2,IF($E$61="JL COB incasso",DATI!$G$150*2))))))),""))))),"")</f>
        <v/>
      </c>
      <c r="I68" s="147"/>
      <c r="J68" s="147"/>
      <c r="K68" s="147"/>
      <c r="L68" s="102"/>
      <c r="M68" s="102"/>
      <c r="N68" s="102"/>
      <c r="O68" s="102"/>
      <c r="P68" s="102"/>
      <c r="Q68" s="102"/>
      <c r="R68" s="89"/>
      <c r="S68" s="89"/>
      <c r="AA68" s="154"/>
      <c r="AB68" s="154"/>
      <c r="AC68" s="159"/>
      <c r="AD68" s="159"/>
      <c r="AE68" s="159"/>
      <c r="AF68" s="263"/>
      <c r="AG68" s="188"/>
      <c r="AH68" s="188"/>
      <c r="AI68" s="188"/>
      <c r="AJ68" s="188"/>
      <c r="AK68" s="102"/>
      <c r="AL68" s="102"/>
      <c r="AM68" s="102"/>
      <c r="AV68" s="106"/>
      <c r="AW68" s="106"/>
      <c r="AX68" s="106"/>
      <c r="AY68" s="106"/>
      <c r="AZ68" s="106"/>
      <c r="BA68" s="106"/>
      <c r="BB68" s="106"/>
      <c r="BC68" s="106"/>
      <c r="BD68" s="106"/>
      <c r="BE68" s="106"/>
      <c r="BF68" s="106"/>
      <c r="BG68" s="106"/>
      <c r="BH68" s="106"/>
      <c r="BI68" s="106"/>
      <c r="BJ68" s="106"/>
    </row>
    <row r="69" spans="1:62" ht="12" customHeight="1" x14ac:dyDescent="0.3">
      <c r="A69" s="106"/>
      <c r="B69" s="153" t="s">
        <v>119</v>
      </c>
      <c r="C69" s="154"/>
      <c r="D69" s="155">
        <f>Q8</f>
        <v>0</v>
      </c>
      <c r="E69" s="155"/>
      <c r="F69" s="156"/>
      <c r="G69" s="152"/>
      <c r="H69" s="147"/>
      <c r="I69" s="147"/>
      <c r="J69" s="147"/>
      <c r="K69" s="147"/>
      <c r="L69" s="102"/>
      <c r="M69" s="102"/>
      <c r="N69" s="102"/>
      <c r="O69" s="102"/>
      <c r="P69" s="102"/>
      <c r="Q69" s="102"/>
      <c r="R69" s="89"/>
      <c r="S69" s="89"/>
      <c r="AA69" s="154"/>
      <c r="AB69" s="154"/>
      <c r="AC69" s="155"/>
      <c r="AD69" s="155"/>
      <c r="AE69" s="155"/>
      <c r="AF69" s="263"/>
      <c r="AG69" s="188"/>
      <c r="AH69" s="188"/>
      <c r="AI69" s="188"/>
      <c r="AJ69" s="188"/>
      <c r="AK69" s="102"/>
      <c r="AL69" s="102"/>
      <c r="AM69" s="102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</row>
    <row r="70" spans="1:62" ht="12" customHeight="1" x14ac:dyDescent="0.3">
      <c r="A70" s="106"/>
      <c r="B70" s="157" t="s">
        <v>117</v>
      </c>
      <c r="C70" s="158"/>
      <c r="D70" s="159">
        <f>Q14</f>
        <v>0</v>
      </c>
      <c r="E70" s="159"/>
      <c r="F70" s="160"/>
      <c r="G70" s="152"/>
      <c r="H70" s="147"/>
      <c r="I70" s="147"/>
      <c r="J70" s="147"/>
      <c r="K70" s="147"/>
      <c r="L70" s="102"/>
      <c r="M70" s="102"/>
      <c r="N70" s="102"/>
      <c r="O70" s="102"/>
      <c r="P70" s="102"/>
      <c r="Q70" s="102"/>
      <c r="R70" s="89"/>
      <c r="S70" s="89"/>
      <c r="AA70" s="158"/>
      <c r="AB70" s="158"/>
      <c r="AC70" s="159"/>
      <c r="AD70" s="159"/>
      <c r="AE70" s="159"/>
      <c r="AF70" s="263"/>
      <c r="AG70" s="188"/>
      <c r="AH70" s="188"/>
      <c r="AI70" s="188"/>
      <c r="AJ70" s="188"/>
      <c r="AK70" s="102"/>
      <c r="AL70" s="102"/>
      <c r="AM70" s="102"/>
      <c r="AV70" s="106"/>
      <c r="AW70" s="106"/>
      <c r="AX70" s="106"/>
      <c r="AY70" s="106"/>
      <c r="AZ70" s="106"/>
      <c r="BA70" s="106"/>
      <c r="BB70" s="106"/>
      <c r="BC70" s="106"/>
      <c r="BD70" s="106"/>
      <c r="BE70" s="106"/>
      <c r="BF70" s="106"/>
      <c r="BG70" s="106"/>
      <c r="BH70" s="106"/>
      <c r="BI70" s="106"/>
      <c r="BJ70" s="106"/>
    </row>
    <row r="71" spans="1:62" ht="12" customHeight="1" x14ac:dyDescent="0.3">
      <c r="A71" s="106"/>
      <c r="B71" s="93" t="s">
        <v>118</v>
      </c>
      <c r="C71" s="166">
        <f>Q10</f>
        <v>0</v>
      </c>
      <c r="D71" s="161"/>
      <c r="E71" s="161"/>
      <c r="F71" s="162"/>
      <c r="G71" s="152"/>
      <c r="H71" s="147"/>
      <c r="I71" s="147"/>
      <c r="J71" s="147"/>
      <c r="K71" s="147"/>
      <c r="L71" s="102"/>
      <c r="M71" s="102"/>
      <c r="N71" s="102"/>
      <c r="O71" s="102"/>
      <c r="P71" s="102"/>
      <c r="Q71" s="102"/>
      <c r="R71" s="89"/>
      <c r="S71" s="89"/>
      <c r="AA71" s="116"/>
      <c r="AB71" s="264"/>
      <c r="AC71" s="246"/>
      <c r="AD71" s="246"/>
      <c r="AE71" s="246"/>
      <c r="AF71" s="263"/>
      <c r="AG71" s="188"/>
      <c r="AH71" s="188"/>
      <c r="AI71" s="188"/>
      <c r="AJ71" s="188"/>
      <c r="AK71" s="102"/>
      <c r="AL71" s="102"/>
      <c r="AM71" s="102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</row>
    <row r="72" spans="1:62" ht="5.0999999999999996" customHeight="1" x14ac:dyDescent="0.3">
      <c r="A72" s="106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73"/>
      <c r="N72" s="73"/>
      <c r="O72" s="74"/>
      <c r="P72" s="80"/>
      <c r="Q72" s="80"/>
      <c r="R72" s="80"/>
      <c r="S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73"/>
      <c r="AM72" s="73"/>
      <c r="AV72" s="106"/>
      <c r="AW72" s="106"/>
      <c r="AX72" s="106"/>
      <c r="AY72" s="106"/>
      <c r="AZ72" s="106"/>
      <c r="BA72" s="106"/>
      <c r="BB72" s="106"/>
      <c r="BC72" s="106"/>
      <c r="BD72" s="106"/>
      <c r="BE72" s="106"/>
      <c r="BF72" s="106"/>
      <c r="BG72" s="106"/>
      <c r="BH72" s="106"/>
      <c r="BI72" s="106"/>
      <c r="BJ72" s="106"/>
    </row>
    <row r="73" spans="1:62" ht="12" customHeight="1" x14ac:dyDescent="0.3">
      <c r="A73" s="106"/>
      <c r="B73" s="148" t="s">
        <v>122</v>
      </c>
      <c r="C73" s="149"/>
      <c r="D73" s="150" t="str">
        <f>IF($AA$12&lt;&gt;"",$AA$12,$X$11)&amp;" mm"</f>
        <v xml:space="preserve"> mm</v>
      </c>
      <c r="E73" s="150"/>
      <c r="F73" s="151"/>
      <c r="G73" s="152">
        <f>$X$7</f>
        <v>0</v>
      </c>
      <c r="H73" s="184" t="str">
        <f>IF(G73&gt;0,IF($E$61="INCASSO INCLINATA RIFT",DATI!$I$105*2,IF($E$61="INCASSO DRITTA LINIE",DATI!$I$117*2,IF(G73&gt;0,IF($E$61="SPORGENTE DRITTA MEC 1 profilo GRIGIO",DATI!$I$18*2,IF(G73&gt;0,IF($E$61="SPORGENTE DRITTA MEC 1 profilo NERO",DATI!$I$18*2,IF($E$61="INCASSO DRITTA MEC 2",DATI!$I$41*2,IF($E$61="SPORGENTE INCLINATA MEC 3 profilo GRIGIO",DATI!$I$64*2,IF($E$61="SPORGENTE INCLINATA MEC 3 profilo NERO",DATI!$I$64*2,IF($E$61="INCASSO INCLINATA MEC 4",DATI!$I$87*2,IF($E$61="JL COB esterna",DATI!$I$134*2,IF($E$61="JL COB incasso",DATI!$I$150*2))))))),""))))),"")</f>
        <v/>
      </c>
      <c r="I73" s="185"/>
      <c r="J73" s="185"/>
      <c r="K73" s="186"/>
      <c r="L73" s="80"/>
      <c r="M73" s="80"/>
      <c r="N73" s="80"/>
      <c r="O73" s="80"/>
      <c r="P73" s="80"/>
      <c r="Q73" s="80"/>
      <c r="R73" s="80"/>
      <c r="S73" s="80"/>
      <c r="AA73" s="154"/>
      <c r="AB73" s="154"/>
      <c r="AC73" s="159"/>
      <c r="AD73" s="159"/>
      <c r="AE73" s="159"/>
      <c r="AF73" s="263"/>
      <c r="AG73" s="188"/>
      <c r="AH73" s="188"/>
      <c r="AI73" s="188"/>
      <c r="AJ73" s="188"/>
      <c r="AK73" s="80"/>
      <c r="AL73" s="80"/>
      <c r="AM73" s="80"/>
      <c r="AV73" s="106"/>
      <c r="AW73" s="106"/>
      <c r="AX73" s="106"/>
      <c r="AY73" s="106"/>
      <c r="AZ73" s="106"/>
      <c r="BA73" s="106"/>
      <c r="BB73" s="106"/>
      <c r="BC73" s="106"/>
      <c r="BD73" s="106"/>
      <c r="BE73" s="106"/>
      <c r="BF73" s="106"/>
      <c r="BG73" s="106"/>
      <c r="BH73" s="106"/>
      <c r="BI73" s="106"/>
      <c r="BJ73" s="106"/>
    </row>
    <row r="74" spans="1:62" ht="12" customHeight="1" x14ac:dyDescent="0.3">
      <c r="A74" s="106"/>
      <c r="B74" s="153" t="s">
        <v>119</v>
      </c>
      <c r="C74" s="154"/>
      <c r="D74" s="155">
        <f>X8</f>
        <v>0</v>
      </c>
      <c r="E74" s="155"/>
      <c r="F74" s="156"/>
      <c r="G74" s="152"/>
      <c r="H74" s="187"/>
      <c r="I74" s="188"/>
      <c r="J74" s="188"/>
      <c r="K74" s="189"/>
      <c r="L74" s="80"/>
      <c r="M74" s="80"/>
      <c r="N74" s="80"/>
      <c r="O74" s="80"/>
      <c r="P74" s="80"/>
      <c r="Q74" s="80"/>
      <c r="R74" s="80"/>
      <c r="S74" s="80"/>
      <c r="AA74" s="154"/>
      <c r="AB74" s="154"/>
      <c r="AC74" s="155"/>
      <c r="AD74" s="155"/>
      <c r="AE74" s="155"/>
      <c r="AF74" s="263"/>
      <c r="AG74" s="188"/>
      <c r="AH74" s="188"/>
      <c r="AI74" s="188"/>
      <c r="AJ74" s="188"/>
      <c r="AK74" s="80"/>
      <c r="AL74" s="80"/>
      <c r="AM74" s="80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</row>
    <row r="75" spans="1:62" ht="12" customHeight="1" x14ac:dyDescent="0.3">
      <c r="A75" s="106"/>
      <c r="B75" s="157" t="s">
        <v>117</v>
      </c>
      <c r="C75" s="158"/>
      <c r="D75" s="159">
        <f>X14</f>
        <v>0</v>
      </c>
      <c r="E75" s="159"/>
      <c r="F75" s="160"/>
      <c r="G75" s="152"/>
      <c r="H75" s="187"/>
      <c r="I75" s="188"/>
      <c r="J75" s="188"/>
      <c r="K75" s="189"/>
      <c r="L75" s="80"/>
      <c r="M75" s="80"/>
      <c r="N75" s="80"/>
      <c r="O75" s="80"/>
      <c r="P75" s="80"/>
      <c r="Q75" s="80"/>
      <c r="R75" s="80"/>
      <c r="S75" s="80"/>
      <c r="AA75" s="158"/>
      <c r="AB75" s="158"/>
      <c r="AC75" s="159"/>
      <c r="AD75" s="159"/>
      <c r="AE75" s="159"/>
      <c r="AF75" s="263"/>
      <c r="AG75" s="188"/>
      <c r="AH75" s="188"/>
      <c r="AI75" s="188"/>
      <c r="AJ75" s="188"/>
      <c r="AK75" s="80"/>
      <c r="AL75" s="80"/>
      <c r="AM75" s="80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</row>
    <row r="76" spans="1:62" ht="12" customHeight="1" x14ac:dyDescent="0.3">
      <c r="A76" s="106"/>
      <c r="B76" s="93" t="s">
        <v>118</v>
      </c>
      <c r="C76" s="161">
        <f>X10</f>
        <v>0</v>
      </c>
      <c r="D76" s="161"/>
      <c r="E76" s="161"/>
      <c r="F76" s="162"/>
      <c r="G76" s="152"/>
      <c r="H76" s="190"/>
      <c r="I76" s="191"/>
      <c r="J76" s="191"/>
      <c r="K76" s="192"/>
      <c r="L76" s="80"/>
      <c r="M76" s="80"/>
      <c r="N76" s="80"/>
      <c r="O76" s="80"/>
      <c r="P76" s="80"/>
      <c r="Q76" s="80"/>
      <c r="R76" s="80"/>
      <c r="S76" s="80"/>
      <c r="AA76" s="116"/>
      <c r="AB76" s="246"/>
      <c r="AC76" s="246"/>
      <c r="AD76" s="246"/>
      <c r="AE76" s="246"/>
      <c r="AF76" s="263"/>
      <c r="AG76" s="188"/>
      <c r="AH76" s="188"/>
      <c r="AI76" s="188"/>
      <c r="AJ76" s="188"/>
      <c r="AK76" s="80"/>
      <c r="AL76" s="80"/>
      <c r="AM76" s="80"/>
      <c r="AV76" s="106"/>
      <c r="AW76" s="106"/>
      <c r="AX76" s="106"/>
      <c r="AY76" s="106"/>
      <c r="AZ76" s="106"/>
      <c r="BA76" s="106"/>
      <c r="BB76" s="106"/>
      <c r="BC76" s="106"/>
      <c r="BD76" s="106"/>
      <c r="BE76" s="106"/>
      <c r="BF76" s="106"/>
      <c r="BG76" s="106"/>
      <c r="BH76" s="106"/>
      <c r="BI76" s="106"/>
      <c r="BJ76" s="106"/>
    </row>
    <row r="77" spans="1:62" ht="5.0999999999999996" customHeight="1" x14ac:dyDescent="0.3">
      <c r="A77" s="106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V77" s="106"/>
      <c r="AW77" s="106"/>
      <c r="AX77" s="106"/>
      <c r="AY77" s="106"/>
      <c r="AZ77" s="106"/>
      <c r="BA77" s="106"/>
      <c r="BB77" s="106"/>
      <c r="BC77" s="106"/>
      <c r="BD77" s="106"/>
      <c r="BE77" s="106"/>
      <c r="BF77" s="106"/>
      <c r="BG77" s="106"/>
      <c r="BH77" s="106"/>
      <c r="BI77" s="106"/>
      <c r="BJ77" s="106"/>
    </row>
    <row r="78" spans="1:62" ht="12" customHeight="1" x14ac:dyDescent="0.3">
      <c r="A78" s="106"/>
      <c r="B78" s="148" t="s">
        <v>122</v>
      </c>
      <c r="C78" s="149"/>
      <c r="D78" s="150" t="str">
        <f>IF($AI$12&lt;&gt;"",$AI$12,$AE$11)&amp;" mm"</f>
        <v xml:space="preserve"> mm</v>
      </c>
      <c r="E78" s="150"/>
      <c r="F78" s="151"/>
      <c r="G78" s="152">
        <f>$AE$7</f>
        <v>0</v>
      </c>
      <c r="H78" s="147" t="str">
        <f>IF(G78&gt;0,IF($E$61="INCASSO INCLINATA RIFT",DATI!$K$105*2,IF($E$61="INCASSO DRITTA LINIE",DATI!$K$117*2,IF(G78&gt;0,IF($E$61="SPORGENTE DRITTA MEC 1 profilo GRIGIO",DATI!$K$18*2,IF(G78&gt;0,IF($E$61="SPORGENTE DRITTA MEC 1 profilo NERO",DATI!$K$18*2,IF($E$61="INCASSO DRITTA MEC 2",DATI!$K$41*2,IF($E$61="SPORGENTE INCLINATA MEC 3 profilo GRIGIO",DATI!$K$64*2,IF($E$61="SPORGENTE INCLINATA MEC 3 profilo NERO",DATI!$K$64*2,IF($E$61="INCASSO INCLINATA MEC 4",DATI!$K$87*2,IF($E$61="JL COB esterna",DATI!$K$134*2,IF($E$61="JL COB incasso",DATI!$K$150*2))))))),""))))),"")</f>
        <v/>
      </c>
      <c r="I78" s="147"/>
      <c r="J78" s="147"/>
      <c r="K78" s="147"/>
      <c r="L78" s="80"/>
      <c r="M78" s="80"/>
      <c r="N78" s="80"/>
      <c r="O78" s="80"/>
      <c r="P78" s="80"/>
      <c r="Q78" s="80"/>
      <c r="R78" s="80"/>
      <c r="S78" s="80"/>
      <c r="AA78" s="154"/>
      <c r="AB78" s="154"/>
      <c r="AC78" s="159"/>
      <c r="AD78" s="159"/>
      <c r="AE78" s="159"/>
      <c r="AF78" s="263"/>
      <c r="AG78" s="188"/>
      <c r="AH78" s="188"/>
      <c r="AI78" s="188"/>
      <c r="AJ78" s="188"/>
      <c r="AK78" s="80"/>
      <c r="AL78" s="80"/>
      <c r="AM78" s="80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</row>
    <row r="79" spans="1:62" ht="12" customHeight="1" x14ac:dyDescent="0.3">
      <c r="A79" s="106"/>
      <c r="B79" s="153" t="s">
        <v>119</v>
      </c>
      <c r="C79" s="154"/>
      <c r="D79" s="155">
        <f>AE8</f>
        <v>0</v>
      </c>
      <c r="E79" s="155"/>
      <c r="F79" s="156"/>
      <c r="G79" s="152"/>
      <c r="H79" s="147"/>
      <c r="I79" s="147"/>
      <c r="J79" s="147"/>
      <c r="K79" s="147"/>
      <c r="L79" s="80"/>
      <c r="M79" s="80"/>
      <c r="N79" s="80"/>
      <c r="O79" s="80"/>
      <c r="P79" s="80"/>
      <c r="Q79" s="80"/>
      <c r="R79" s="80"/>
      <c r="S79" s="80"/>
      <c r="AA79" s="154"/>
      <c r="AB79" s="154"/>
      <c r="AC79" s="155"/>
      <c r="AD79" s="155"/>
      <c r="AE79" s="155"/>
      <c r="AF79" s="263"/>
      <c r="AG79" s="188"/>
      <c r="AH79" s="188"/>
      <c r="AI79" s="188"/>
      <c r="AJ79" s="188"/>
      <c r="AK79" s="80"/>
      <c r="AL79" s="80"/>
      <c r="AM79" s="80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</row>
    <row r="80" spans="1:62" ht="12" customHeight="1" x14ac:dyDescent="0.3">
      <c r="A80" s="106"/>
      <c r="B80" s="157" t="s">
        <v>117</v>
      </c>
      <c r="C80" s="158"/>
      <c r="D80" s="159">
        <f>AE14</f>
        <v>0</v>
      </c>
      <c r="E80" s="159"/>
      <c r="F80" s="160"/>
      <c r="G80" s="152"/>
      <c r="H80" s="147"/>
      <c r="I80" s="147"/>
      <c r="J80" s="147"/>
      <c r="K80" s="147"/>
      <c r="L80" s="80"/>
      <c r="M80" s="80"/>
      <c r="N80" s="80"/>
      <c r="O80" s="80"/>
      <c r="P80" s="80"/>
      <c r="Q80" s="80"/>
      <c r="R80" s="80"/>
      <c r="S80" s="80"/>
      <c r="AA80" s="158"/>
      <c r="AB80" s="158"/>
      <c r="AC80" s="159"/>
      <c r="AD80" s="159"/>
      <c r="AE80" s="159"/>
      <c r="AF80" s="263"/>
      <c r="AG80" s="188"/>
      <c r="AH80" s="188"/>
      <c r="AI80" s="188"/>
      <c r="AJ80" s="188"/>
      <c r="AK80" s="80"/>
      <c r="AL80" s="80"/>
      <c r="AM80" s="80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</row>
    <row r="81" spans="1:62" ht="12" customHeight="1" x14ac:dyDescent="0.3">
      <c r="A81" s="106"/>
      <c r="B81" s="93" t="s">
        <v>118</v>
      </c>
      <c r="C81" s="161">
        <f>AE10</f>
        <v>0</v>
      </c>
      <c r="D81" s="161"/>
      <c r="E81" s="161"/>
      <c r="F81" s="162"/>
      <c r="G81" s="152"/>
      <c r="H81" s="147"/>
      <c r="I81" s="147"/>
      <c r="J81" s="147"/>
      <c r="K81" s="147"/>
      <c r="L81" s="80"/>
      <c r="M81" s="80"/>
      <c r="N81" s="80"/>
      <c r="O81" s="80"/>
      <c r="P81" s="80"/>
      <c r="Q81" s="80"/>
      <c r="R81" s="80"/>
      <c r="S81" s="80"/>
      <c r="AA81" s="116"/>
      <c r="AB81" s="246"/>
      <c r="AC81" s="246"/>
      <c r="AD81" s="246"/>
      <c r="AE81" s="246"/>
      <c r="AF81" s="263"/>
      <c r="AG81" s="188"/>
      <c r="AH81" s="188"/>
      <c r="AI81" s="188"/>
      <c r="AJ81" s="188"/>
      <c r="AK81" s="80"/>
      <c r="AL81" s="80"/>
      <c r="AM81" s="80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  <c r="BH81" s="106"/>
      <c r="BI81" s="106"/>
      <c r="BJ81" s="106"/>
    </row>
    <row r="82" spans="1:62" ht="5.0999999999999996" customHeight="1" x14ac:dyDescent="0.3">
      <c r="A82" s="106"/>
      <c r="AV82" s="106"/>
      <c r="AW82" s="106"/>
      <c r="AX82" s="106"/>
      <c r="AY82" s="106"/>
      <c r="AZ82" s="106"/>
      <c r="BA82" s="106"/>
      <c r="BB82" s="106"/>
      <c r="BC82" s="106"/>
      <c r="BD82" s="106"/>
      <c r="BE82" s="106"/>
      <c r="BF82" s="106"/>
      <c r="BG82" s="106"/>
      <c r="BH82" s="106"/>
      <c r="BI82" s="106"/>
      <c r="BJ82" s="106"/>
    </row>
    <row r="83" spans="1:62" ht="12" customHeight="1" x14ac:dyDescent="0.3">
      <c r="A83" s="106"/>
      <c r="B83" s="148" t="s">
        <v>122</v>
      </c>
      <c r="C83" s="149"/>
      <c r="D83" s="150" t="str">
        <f>IF($AO$12&lt;&gt;"",$AO$12,$AL$11)&amp;" mm"</f>
        <v xml:space="preserve"> mm</v>
      </c>
      <c r="E83" s="150"/>
      <c r="F83" s="151"/>
      <c r="G83" s="152">
        <f>$AL$7</f>
        <v>0</v>
      </c>
      <c r="H83" s="147" t="str">
        <f>IF(G83&gt;0,IF($E$61="INCASSO INCLINATA RIFT",DATI!$M$105*2,IF($E$61="INCASSO DRITTA LINIE",DATI!$M$117*2,IF(G83&gt;0,IF($E$61="SPORGENTE DRITTA MEC 1 profilo GRIGIO",DATI!$M$18*2,IF(G83&gt;0,IF($E$61="SPORGENTE DRITTA MEC 1 profilo NERO",DATI!$M$18*2,IF($E$61="INCASSO DRITTA MEC 2",DATI!$M$41*2,IF($E$61="SPORGENTE INCLINATA MEC 3 profilo GRIGIO",DATI!$M$64*2,IF($E$61="SPORGENTE INCLINATA MEC 3 profilo NERO",DATI!$M$64*2,IF($E$61="INCASSO INCLINATA MEC 4",DATI!$M$87*2,IF($E$61="JL COB esterna",DATI!$M$134*2,IF($E$61="JL COB incasso",DATI!$M$150*2))))))),""))))),"")</f>
        <v/>
      </c>
      <c r="I83" s="147"/>
      <c r="J83" s="147"/>
      <c r="K83" s="147"/>
      <c r="L83" s="80"/>
      <c r="M83" s="80"/>
      <c r="N83" s="80"/>
      <c r="O83" s="80"/>
      <c r="P83" s="80"/>
      <c r="Q83" s="80"/>
      <c r="R83" s="80"/>
      <c r="S83" s="80"/>
      <c r="AA83" s="154"/>
      <c r="AB83" s="154"/>
      <c r="AC83" s="159"/>
      <c r="AD83" s="159"/>
      <c r="AE83" s="159"/>
      <c r="AF83" s="263"/>
      <c r="AG83" s="188"/>
      <c r="AH83" s="188"/>
      <c r="AI83" s="188"/>
      <c r="AJ83" s="188"/>
      <c r="AK83" s="80"/>
      <c r="AL83" s="80"/>
      <c r="AM83" s="80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06"/>
    </row>
    <row r="84" spans="1:62" ht="12" customHeight="1" x14ac:dyDescent="0.3">
      <c r="A84" s="106"/>
      <c r="B84" s="153" t="s">
        <v>119</v>
      </c>
      <c r="C84" s="154"/>
      <c r="D84" s="155">
        <f>AL8</f>
        <v>0</v>
      </c>
      <c r="E84" s="155"/>
      <c r="F84" s="156"/>
      <c r="G84" s="152"/>
      <c r="H84" s="147"/>
      <c r="I84" s="147"/>
      <c r="J84" s="147"/>
      <c r="K84" s="147"/>
      <c r="L84" s="80"/>
      <c r="M84" s="80"/>
      <c r="N84" s="80"/>
      <c r="O84" s="80"/>
      <c r="P84" s="80"/>
      <c r="Q84" s="80"/>
      <c r="R84" s="80"/>
      <c r="S84" s="80"/>
      <c r="AA84" s="154"/>
      <c r="AB84" s="154"/>
      <c r="AC84" s="155"/>
      <c r="AD84" s="155"/>
      <c r="AE84" s="155"/>
      <c r="AF84" s="263"/>
      <c r="AG84" s="188"/>
      <c r="AH84" s="188"/>
      <c r="AI84" s="188"/>
      <c r="AJ84" s="188"/>
      <c r="AK84" s="80"/>
      <c r="AL84" s="80"/>
      <c r="AM84" s="80"/>
      <c r="AV84" s="106"/>
      <c r="AW84" s="106"/>
      <c r="AX84" s="106"/>
      <c r="AY84" s="106"/>
      <c r="AZ84" s="106"/>
      <c r="BA84" s="106"/>
      <c r="BB84" s="106"/>
      <c r="BC84" s="106"/>
      <c r="BD84" s="106"/>
      <c r="BE84" s="106"/>
      <c r="BF84" s="106"/>
      <c r="BG84" s="106"/>
      <c r="BH84" s="106"/>
      <c r="BI84" s="106"/>
      <c r="BJ84" s="106"/>
    </row>
    <row r="85" spans="1:62" ht="12" customHeight="1" x14ac:dyDescent="0.3">
      <c r="A85" s="106"/>
      <c r="B85" s="157" t="s">
        <v>117</v>
      </c>
      <c r="C85" s="158"/>
      <c r="D85" s="159">
        <f>AL14</f>
        <v>0</v>
      </c>
      <c r="E85" s="159"/>
      <c r="F85" s="160"/>
      <c r="G85" s="152"/>
      <c r="H85" s="147"/>
      <c r="I85" s="147"/>
      <c r="J85" s="147"/>
      <c r="K85" s="147"/>
      <c r="L85" s="80"/>
      <c r="M85" s="80"/>
      <c r="N85" s="80"/>
      <c r="O85" s="80"/>
      <c r="P85" s="80"/>
      <c r="Q85" s="80"/>
      <c r="R85" s="80"/>
      <c r="S85" s="80"/>
      <c r="AA85" s="158"/>
      <c r="AB85" s="158"/>
      <c r="AC85" s="159"/>
      <c r="AD85" s="159"/>
      <c r="AE85" s="159"/>
      <c r="AF85" s="263"/>
      <c r="AG85" s="188"/>
      <c r="AH85" s="188"/>
      <c r="AI85" s="188"/>
      <c r="AJ85" s="188"/>
      <c r="AK85" s="80"/>
      <c r="AL85" s="80"/>
      <c r="AM85" s="80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</row>
    <row r="86" spans="1:62" ht="12" customHeight="1" x14ac:dyDescent="0.3">
      <c r="A86" s="106"/>
      <c r="B86" s="93" t="s">
        <v>118</v>
      </c>
      <c r="C86" s="161">
        <f>AL10</f>
        <v>0</v>
      </c>
      <c r="D86" s="161"/>
      <c r="E86" s="161"/>
      <c r="F86" s="162"/>
      <c r="G86" s="152"/>
      <c r="H86" s="147"/>
      <c r="I86" s="147"/>
      <c r="J86" s="147"/>
      <c r="K86" s="147"/>
      <c r="L86" s="80"/>
      <c r="M86" s="80"/>
      <c r="N86" s="80"/>
      <c r="O86" s="80"/>
      <c r="P86" s="80"/>
      <c r="Q86" s="80"/>
      <c r="R86" s="80"/>
      <c r="S86" s="80"/>
      <c r="AA86" s="116"/>
      <c r="AB86" s="246"/>
      <c r="AC86" s="246"/>
      <c r="AD86" s="246"/>
      <c r="AE86" s="246"/>
      <c r="AF86" s="263"/>
      <c r="AG86" s="188"/>
      <c r="AH86" s="188"/>
      <c r="AI86" s="188"/>
      <c r="AJ86" s="188"/>
      <c r="AK86" s="80"/>
      <c r="AL86" s="80"/>
      <c r="AM86" s="80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</row>
    <row r="87" spans="1:62" x14ac:dyDescent="0.3">
      <c r="A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</row>
    <row r="88" spans="1:62" ht="15" customHeight="1" x14ac:dyDescent="0.3">
      <c r="A88" s="106"/>
      <c r="B88" s="71"/>
      <c r="C88" s="167" t="str">
        <f>IF(SUM($G$20:$H$25)&gt;0,"N° PZ","")</f>
        <v/>
      </c>
      <c r="D88" s="167"/>
      <c r="E88" s="167"/>
      <c r="F88" s="167"/>
      <c r="G88" s="167"/>
      <c r="H88" s="167"/>
      <c r="I88" s="167"/>
      <c r="J88" s="174" t="s">
        <v>121</v>
      </c>
      <c r="K88" s="174"/>
      <c r="L88" s="174"/>
      <c r="M88" s="174"/>
      <c r="AA88" s="71"/>
      <c r="AB88" s="266"/>
      <c r="AC88" s="266"/>
      <c r="AD88" s="266"/>
      <c r="AE88" s="266"/>
      <c r="AF88" s="266"/>
      <c r="AG88" s="266"/>
      <c r="AH88" s="266"/>
      <c r="AI88" s="174"/>
      <c r="AJ88" s="174"/>
      <c r="AK88" s="174"/>
      <c r="AL88" s="174"/>
      <c r="AV88" s="106"/>
      <c r="AW88" s="106"/>
      <c r="AX88" s="106"/>
      <c r="AY88" s="106"/>
      <c r="AZ88" s="106"/>
      <c r="BA88" s="106"/>
      <c r="BB88" s="106"/>
      <c r="BC88" s="106"/>
      <c r="BD88" s="106"/>
      <c r="BE88" s="106"/>
      <c r="BF88" s="106"/>
      <c r="BG88" s="106"/>
      <c r="BH88" s="106"/>
      <c r="BI88" s="106"/>
      <c r="BJ88" s="106"/>
    </row>
    <row r="89" spans="1:62" ht="15.6" x14ac:dyDescent="0.3">
      <c r="A89" s="106"/>
      <c r="B89" s="96"/>
      <c r="C89" s="175" t="str">
        <f>IF(AND($B$20="60 W",$G$20&lt;&gt;""),"JLALI60",IF(AND($B$20="18 W",$G$20&lt;&gt;""),"ALIDRIVER18",IF(AND($B$20="36 W",$G$20&lt;&gt;""),"LINIEAL36",IF(AND($B$20="48 W",$G$20&lt;&gt;""),"ALIDRIVER48",""))))</f>
        <v/>
      </c>
      <c r="D89" s="175"/>
      <c r="E89" s="175"/>
      <c r="F89" s="175"/>
      <c r="G89" s="175"/>
      <c r="H89" s="163" t="str">
        <f>IF($G$20&lt;&gt;"",$G$20,"")</f>
        <v/>
      </c>
      <c r="I89" s="163"/>
      <c r="J89" s="164" t="str">
        <f>IF($C$89&lt;&gt;"",INDEX(DATI!$D$156:$D$171,MATCH($C$89,DATI!$A$156:$A$171,0))*2,"")</f>
        <v/>
      </c>
      <c r="K89" s="164"/>
      <c r="L89" s="164"/>
      <c r="M89" s="164"/>
      <c r="AA89" s="100"/>
      <c r="AB89" s="165"/>
      <c r="AC89" s="165"/>
      <c r="AD89" s="165"/>
      <c r="AE89" s="165"/>
      <c r="AF89" s="165"/>
      <c r="AG89" s="145"/>
      <c r="AH89" s="145"/>
      <c r="AI89" s="146"/>
      <c r="AJ89" s="146"/>
      <c r="AK89" s="146"/>
      <c r="AL89" s="14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</row>
    <row r="90" spans="1:62" ht="15" customHeight="1" x14ac:dyDescent="0.3">
      <c r="A90" s="106"/>
      <c r="B90" s="95"/>
      <c r="C90" s="165" t="str">
        <f>IF(AND($B$22="100 W",$G$22&lt;&gt;""),"JLALI100",IF(AND($B$22="48 W",$G$22&lt;&gt;""),"ALIDRIVER48",IF(AND($B$22="60 W",$G$22&lt;&gt;""),"LINIEAL60",IF(AND($B$22="90 W",$G$22&lt;&gt;""),"ALIDRIVER90",""))))</f>
        <v/>
      </c>
      <c r="D90" s="165"/>
      <c r="E90" s="165"/>
      <c r="F90" s="165"/>
      <c r="G90" s="165"/>
      <c r="H90" s="145" t="str">
        <f>IF($G$22&lt;&gt;"",$G$22,"")</f>
        <v/>
      </c>
      <c r="I90" s="145"/>
      <c r="J90" s="146" t="str">
        <f>IF($C$90&lt;&gt;"",INDEX(DATI!$D$156:$D$171,MATCH($C$90,DATI!$A$156:$A$171,0))*2,"")</f>
        <v/>
      </c>
      <c r="K90" s="146"/>
      <c r="L90" s="146"/>
      <c r="M90" s="146"/>
      <c r="AA90" s="101"/>
      <c r="AB90" s="165"/>
      <c r="AC90" s="165"/>
      <c r="AD90" s="165"/>
      <c r="AE90" s="165"/>
      <c r="AF90" s="165"/>
      <c r="AG90" s="145"/>
      <c r="AH90" s="145"/>
      <c r="AI90" s="146"/>
      <c r="AJ90" s="146"/>
      <c r="AK90" s="146"/>
      <c r="AL90" s="14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</row>
    <row r="91" spans="1:62" x14ac:dyDescent="0.3">
      <c r="A91" s="106"/>
      <c r="B91" s="82"/>
      <c r="C91" s="165" t="str">
        <f>IF(AND($B$24="90 W",$G$24&lt;&gt;""),"ALIDRIVER90","")</f>
        <v/>
      </c>
      <c r="D91" s="165"/>
      <c r="E91" s="165"/>
      <c r="F91" s="165"/>
      <c r="G91" s="165"/>
      <c r="H91" s="145" t="str">
        <f>IF($G$24&lt;&gt;"",$G$24,"")</f>
        <v/>
      </c>
      <c r="I91" s="145"/>
      <c r="J91" s="146" t="str">
        <f>IF($C$91&lt;&gt;"",INDEX(DATI!$D$156:$D$171,MATCH($C$91,DATI!$A$156:$A$171,0))*2,"")</f>
        <v/>
      </c>
      <c r="K91" s="146"/>
      <c r="L91" s="146"/>
      <c r="M91" s="146"/>
      <c r="AA91" s="82"/>
      <c r="AB91" s="165"/>
      <c r="AC91" s="165"/>
      <c r="AD91" s="165"/>
      <c r="AE91" s="165"/>
      <c r="AF91" s="165"/>
      <c r="AG91" s="145"/>
      <c r="AH91" s="145"/>
      <c r="AI91" s="146"/>
      <c r="AJ91" s="146"/>
      <c r="AK91" s="146"/>
      <c r="AL91" s="14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</row>
    <row r="92" spans="1:62" x14ac:dyDescent="0.3">
      <c r="A92" s="106"/>
      <c r="B92" s="80"/>
      <c r="C92" s="73"/>
      <c r="D92" s="73"/>
      <c r="E92" s="73"/>
      <c r="F92" s="80"/>
      <c r="G92" s="80"/>
      <c r="H92" s="80"/>
      <c r="I92" s="80"/>
      <c r="J92" s="146"/>
      <c r="K92" s="146"/>
      <c r="L92" s="146"/>
      <c r="M92" s="146"/>
      <c r="AA92" s="80"/>
      <c r="AB92" s="73"/>
      <c r="AC92" s="73"/>
      <c r="AD92" s="73"/>
      <c r="AE92" s="80"/>
      <c r="AF92" s="80"/>
      <c r="AG92" s="80"/>
      <c r="AH92" s="80"/>
      <c r="AI92" s="146"/>
      <c r="AJ92" s="146"/>
      <c r="AK92" s="146"/>
      <c r="AL92" s="14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</row>
    <row r="93" spans="1:62" x14ac:dyDescent="0.3">
      <c r="A93" s="106"/>
      <c r="B93" s="168" t="str">
        <f>IF(OR($C$89="ALIDRIVER18",$C$90="ALIDRIVER48",$C$91="ALIDRIVER90"),"MECDRIVERD24","")</f>
        <v/>
      </c>
      <c r="C93" s="169"/>
      <c r="D93" s="169"/>
      <c r="E93" s="169"/>
      <c r="F93" s="169"/>
      <c r="G93" s="169"/>
      <c r="H93" s="170" t="str">
        <f>IF($B$93&lt;&gt;"",SUM(H89:I91),"")</f>
        <v/>
      </c>
      <c r="I93" s="170"/>
      <c r="J93" s="171" t="str">
        <f>IF($B$93&lt;&gt;"",INDEX(DATI!$D$156:$D$169,MATCH($B$93,DATI!$A$156:$A$169,0))*2,"")</f>
        <v/>
      </c>
      <c r="K93" s="171"/>
      <c r="L93" s="171"/>
      <c r="M93" s="171"/>
      <c r="AA93" s="144"/>
      <c r="AB93" s="144"/>
      <c r="AC93" s="144"/>
      <c r="AD93" s="144"/>
      <c r="AE93" s="144"/>
      <c r="AF93" s="144"/>
      <c r="AG93" s="145"/>
      <c r="AH93" s="145"/>
      <c r="AI93" s="146"/>
      <c r="AJ93" s="146"/>
      <c r="AK93" s="146"/>
      <c r="AL93" s="14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</row>
    <row r="94" spans="1:62" x14ac:dyDescent="0.3">
      <c r="A94" s="106"/>
      <c r="B94" s="172" t="e">
        <f>INDEX(DATI!$T$160:$T$175,MATCH($E$26,DATI!$U$160:$U$175,0))</f>
        <v>#N/A</v>
      </c>
      <c r="C94" s="173"/>
      <c r="D94" s="173"/>
      <c r="E94" s="173"/>
      <c r="F94" s="173"/>
      <c r="G94" s="173"/>
      <c r="H94" s="163" t="str">
        <f>IF($Q$26&lt;&gt;"",$Q$26,"")</f>
        <v/>
      </c>
      <c r="I94" s="163"/>
      <c r="J94" s="164" t="e">
        <f>IF($B$94&lt;&gt;"",INDEX(DATI!$S$160:$S$175,MATCH($B$94,DATI!$T$160:$T$175,0))*2,"")</f>
        <v>#N/A</v>
      </c>
      <c r="K94" s="164"/>
      <c r="L94" s="164"/>
      <c r="M94" s="164"/>
      <c r="AA94" s="144"/>
      <c r="AB94" s="144"/>
      <c r="AC94" s="144"/>
      <c r="AD94" s="144"/>
      <c r="AE94" s="144"/>
      <c r="AF94" s="144"/>
      <c r="AG94" s="145"/>
      <c r="AH94" s="145"/>
      <c r="AI94" s="146"/>
      <c r="AJ94" s="146"/>
      <c r="AK94" s="146"/>
      <c r="AL94" s="14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</row>
    <row r="95" spans="1:62" x14ac:dyDescent="0.3">
      <c r="A95" s="106"/>
      <c r="B95" s="143" t="e">
        <f>INDEX(DATI!$T$160:$T$175,MATCH($T$26,DATI!$U$160:$U$175,0))</f>
        <v>#N/A</v>
      </c>
      <c r="C95" s="144"/>
      <c r="D95" s="144"/>
      <c r="E95" s="144"/>
      <c r="F95" s="144"/>
      <c r="G95" s="144"/>
      <c r="H95" s="145" t="str">
        <f>IF($AG$26&lt;&gt;"",$AG$26,"")</f>
        <v/>
      </c>
      <c r="I95" s="145"/>
      <c r="J95" s="146" t="e">
        <f>IF($B$95&lt;&gt;"",INDEX(DATI!$S$160:$S$175,MATCH($B$95,DATI!$T$160:$T$175,0))*2,"")</f>
        <v>#N/A</v>
      </c>
      <c r="K95" s="146"/>
      <c r="L95" s="146"/>
      <c r="M95" s="146"/>
      <c r="AA95" s="144"/>
      <c r="AB95" s="144"/>
      <c r="AC95" s="144"/>
      <c r="AD95" s="144"/>
      <c r="AE95" s="144"/>
      <c r="AF95" s="144"/>
      <c r="AG95" s="145"/>
      <c r="AH95" s="145"/>
      <c r="AI95" s="146"/>
      <c r="AJ95" s="146"/>
      <c r="AK95" s="146"/>
      <c r="AL95" s="14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</row>
    <row r="96" spans="1:62" x14ac:dyDescent="0.3">
      <c r="A96" s="106"/>
      <c r="B96" s="143" t="e">
        <f>INDEX(DATI!$T$160:$T$175,MATCH($AJ$26,DATI!$U$160:$U$175,0))</f>
        <v>#N/A</v>
      </c>
      <c r="C96" s="144"/>
      <c r="D96" s="144"/>
      <c r="E96" s="144"/>
      <c r="F96" s="144"/>
      <c r="G96" s="144"/>
      <c r="H96" s="145" t="str">
        <f>IF($AU$26&lt;&gt;"",$AU$26,"")</f>
        <v/>
      </c>
      <c r="I96" s="145"/>
      <c r="J96" s="146" t="e">
        <f>IF($B$96&lt;&gt;"",INDEX(DATI!$S$160:$S$175,MATCH($B$96,DATI!$T$160:$T$175,0))*2,"")</f>
        <v>#N/A</v>
      </c>
      <c r="K96" s="146"/>
      <c r="L96" s="146"/>
      <c r="M96" s="146"/>
      <c r="AA96" s="144"/>
      <c r="AB96" s="144"/>
      <c r="AC96" s="144"/>
      <c r="AD96" s="144"/>
      <c r="AE96" s="144"/>
      <c r="AF96" s="144"/>
      <c r="AG96" s="145"/>
      <c r="AH96" s="145"/>
      <c r="AI96" s="146"/>
      <c r="AJ96" s="146"/>
      <c r="AK96" s="146"/>
      <c r="AL96" s="146"/>
      <c r="AV96" s="106"/>
      <c r="AW96" s="106"/>
      <c r="AX96" s="106"/>
      <c r="AY96" s="106"/>
      <c r="AZ96" s="106"/>
      <c r="BA96" s="106"/>
      <c r="BB96" s="106"/>
      <c r="BC96" s="106"/>
      <c r="BD96" s="106"/>
      <c r="BE96" s="106"/>
      <c r="BF96" s="106"/>
      <c r="BG96" s="106"/>
      <c r="BH96" s="106"/>
      <c r="BI96" s="106"/>
      <c r="BJ96" s="106"/>
    </row>
    <row r="97" spans="1:62" x14ac:dyDescent="0.3">
      <c r="A97" s="106"/>
      <c r="B97" s="279" t="str">
        <f>IF($F$55&lt;&gt;"","LINIED","")</f>
        <v/>
      </c>
      <c r="C97" s="279"/>
      <c r="D97" s="279"/>
      <c r="E97" s="279"/>
      <c r="F97" s="279"/>
      <c r="G97" s="279"/>
      <c r="H97" s="146" t="str">
        <f>IF($F$55&lt;&gt;"",$E$55,"")</f>
        <v/>
      </c>
      <c r="I97" s="146"/>
      <c r="J97" s="146" t="str">
        <f>IF($F$55&lt;&gt;"",(3.45*$H$97),"")</f>
        <v/>
      </c>
      <c r="K97" s="146"/>
      <c r="L97" s="146"/>
      <c r="M97" s="146"/>
      <c r="AI97" s="146"/>
      <c r="AJ97" s="146"/>
      <c r="AK97" s="146"/>
      <c r="AL97" s="146"/>
      <c r="AV97" s="106"/>
      <c r="AW97" s="106"/>
      <c r="AX97" s="106"/>
      <c r="AY97" s="106"/>
      <c r="AZ97" s="106"/>
      <c r="BA97" s="106"/>
      <c r="BB97" s="106"/>
      <c r="BC97" s="106"/>
      <c r="BD97" s="106"/>
      <c r="BE97" s="106"/>
      <c r="BF97" s="106"/>
      <c r="BG97" s="106"/>
      <c r="BH97" s="106"/>
      <c r="BI97" s="106"/>
      <c r="BJ97" s="106"/>
    </row>
    <row r="98" spans="1:62" x14ac:dyDescent="0.3">
      <c r="A98" s="106"/>
      <c r="B98" s="279" t="str">
        <f>IF($F$55&lt;&gt;"","MECREELPP","")</f>
        <v/>
      </c>
      <c r="C98" s="279"/>
      <c r="D98" s="279"/>
      <c r="E98" s="279"/>
      <c r="F98" s="279"/>
      <c r="G98" s="279"/>
      <c r="H98" s="146" t="str">
        <f>IF($F$55&lt;&gt;"",$E$55,"")</f>
        <v/>
      </c>
      <c r="I98" s="146"/>
      <c r="J98" s="146" t="str">
        <f>IF($F$55&lt;&gt;"",(2.13*$H$97),"")</f>
        <v/>
      </c>
      <c r="K98" s="146"/>
      <c r="L98" s="146"/>
      <c r="M98" s="146"/>
      <c r="AI98" s="146"/>
      <c r="AJ98" s="146"/>
      <c r="AK98" s="146"/>
      <c r="AL98" s="146"/>
      <c r="AV98" s="106"/>
      <c r="AW98" s="106"/>
      <c r="AX98" s="106"/>
      <c r="AY98" s="106"/>
      <c r="AZ98" s="106"/>
      <c r="BA98" s="106"/>
      <c r="BB98" s="106"/>
      <c r="BC98" s="106"/>
      <c r="BD98" s="106"/>
      <c r="BE98" s="106"/>
      <c r="BF98" s="106"/>
      <c r="BG98" s="106"/>
      <c r="BH98" s="106"/>
      <c r="BI98" s="106"/>
      <c r="BJ98" s="106"/>
    </row>
    <row r="99" spans="1:62" x14ac:dyDescent="0.3">
      <c r="A99" s="106"/>
      <c r="AV99" s="106"/>
      <c r="AW99" s="106"/>
      <c r="AX99" s="106"/>
      <c r="AY99" s="106"/>
      <c r="AZ99" s="106"/>
      <c r="BA99" s="106"/>
      <c r="BB99" s="106"/>
      <c r="BC99" s="106"/>
      <c r="BD99" s="106"/>
      <c r="BE99" s="106"/>
      <c r="BF99" s="106"/>
      <c r="BG99" s="106"/>
      <c r="BH99" s="106"/>
      <c r="BI99" s="106"/>
      <c r="BJ99" s="106"/>
    </row>
    <row r="100" spans="1:62" x14ac:dyDescent="0.3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  <c r="BD100" s="106"/>
      <c r="BE100" s="106"/>
      <c r="BF100" s="106"/>
      <c r="BG100" s="106"/>
      <c r="BH100" s="106"/>
      <c r="BI100" s="106"/>
      <c r="BJ100" s="106"/>
    </row>
    <row r="101" spans="1:62" x14ac:dyDescent="0.3">
      <c r="A101" s="106"/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06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106"/>
      <c r="BC101" s="106"/>
      <c r="BD101" s="106"/>
      <c r="BE101" s="106"/>
      <c r="BF101" s="106"/>
      <c r="BG101" s="106"/>
      <c r="BH101" s="106"/>
      <c r="BI101" s="106"/>
      <c r="BJ101" s="106"/>
    </row>
    <row r="102" spans="1:62" x14ac:dyDescent="0.3">
      <c r="A102" s="10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  <c r="BD102" s="106"/>
      <c r="BE102" s="106"/>
      <c r="BF102" s="106"/>
      <c r="BG102" s="106"/>
      <c r="BH102" s="106"/>
      <c r="BI102" s="106"/>
      <c r="BJ102" s="106"/>
    </row>
    <row r="103" spans="1:62" x14ac:dyDescent="0.3">
      <c r="A103" s="106"/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  <c r="BD103" s="106"/>
      <c r="BE103" s="106"/>
      <c r="BF103" s="106"/>
      <c r="BG103" s="106"/>
      <c r="BH103" s="106"/>
      <c r="BI103" s="106"/>
      <c r="BJ103" s="106"/>
    </row>
    <row r="104" spans="1:62" x14ac:dyDescent="0.3">
      <c r="A104" s="106"/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6"/>
      <c r="BB104" s="106"/>
      <c r="BC104" s="106"/>
      <c r="BD104" s="106"/>
      <c r="BE104" s="106"/>
      <c r="BF104" s="106"/>
      <c r="BG104" s="106"/>
      <c r="BH104" s="106"/>
      <c r="BI104" s="106"/>
      <c r="BJ104" s="106"/>
    </row>
    <row r="105" spans="1:62" x14ac:dyDescent="0.3">
      <c r="A105" s="106"/>
      <c r="B105" s="106"/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</row>
    <row r="106" spans="1:62" x14ac:dyDescent="0.3">
      <c r="A106" s="106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  <c r="BD106" s="106"/>
      <c r="BE106" s="106"/>
      <c r="BF106" s="106"/>
      <c r="BG106" s="106"/>
      <c r="BH106" s="106"/>
      <c r="BI106" s="106"/>
      <c r="BJ106" s="106"/>
    </row>
    <row r="107" spans="1:62" x14ac:dyDescent="0.3">
      <c r="A107" s="106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106"/>
      <c r="BC107" s="106"/>
      <c r="BD107" s="106"/>
      <c r="BE107" s="106"/>
      <c r="BF107" s="106"/>
      <c r="BG107" s="106"/>
      <c r="BH107" s="106"/>
      <c r="BI107" s="106"/>
      <c r="BJ107" s="106"/>
    </row>
    <row r="108" spans="1:62" x14ac:dyDescent="0.3">
      <c r="A108" s="106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  <c r="BD108" s="106"/>
      <c r="BE108" s="106"/>
      <c r="BF108" s="106"/>
      <c r="BG108" s="106"/>
      <c r="BH108" s="106"/>
      <c r="BI108" s="106"/>
      <c r="BJ108" s="106"/>
    </row>
    <row r="109" spans="1:62" x14ac:dyDescent="0.3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  <c r="BD109" s="106"/>
      <c r="BE109" s="106"/>
      <c r="BF109" s="106"/>
      <c r="BG109" s="106"/>
      <c r="BH109" s="106"/>
      <c r="BI109" s="106"/>
      <c r="BJ109" s="106"/>
    </row>
    <row r="110" spans="1:62" x14ac:dyDescent="0.3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  <c r="BD110" s="106"/>
      <c r="BE110" s="106"/>
      <c r="BF110" s="106"/>
      <c r="BG110" s="106"/>
      <c r="BH110" s="106"/>
      <c r="BI110" s="106"/>
      <c r="BJ110" s="106"/>
    </row>
    <row r="111" spans="1:62" x14ac:dyDescent="0.3">
      <c r="A111" s="106"/>
      <c r="B111" s="106"/>
      <c r="C111" s="106"/>
      <c r="D111" s="106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06"/>
    </row>
    <row r="112" spans="1:62" x14ac:dyDescent="0.3">
      <c r="A112" s="106"/>
      <c r="B112" s="106"/>
      <c r="C112" s="106"/>
      <c r="D112" s="106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06"/>
      <c r="AF112" s="106"/>
      <c r="AG112" s="106"/>
      <c r="AH112" s="106"/>
      <c r="AI112" s="106"/>
      <c r="AJ112" s="106"/>
      <c r="AK112" s="106"/>
      <c r="AL112" s="106"/>
      <c r="AM112" s="106"/>
      <c r="AN112" s="106"/>
      <c r="AO112" s="106"/>
      <c r="AP112" s="106"/>
      <c r="AQ112" s="106"/>
      <c r="AR112" s="106"/>
      <c r="AS112" s="106"/>
      <c r="AT112" s="106"/>
      <c r="AU112" s="106"/>
      <c r="AV112" s="106"/>
      <c r="AW112" s="106"/>
      <c r="AX112" s="106"/>
      <c r="AY112" s="106"/>
      <c r="AZ112" s="106"/>
      <c r="BA112" s="106"/>
      <c r="BB112" s="106"/>
      <c r="BC112" s="106"/>
      <c r="BD112" s="106"/>
      <c r="BE112" s="106"/>
      <c r="BF112" s="106"/>
      <c r="BG112" s="106"/>
      <c r="BH112" s="106"/>
      <c r="BI112" s="106"/>
      <c r="BJ112" s="106"/>
    </row>
    <row r="113" spans="1:62" x14ac:dyDescent="0.3">
      <c r="A113" s="106"/>
      <c r="B113" s="106"/>
      <c r="C113" s="106"/>
      <c r="D113" s="106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6"/>
      <c r="Z113" s="106"/>
      <c r="AA113" s="106"/>
      <c r="AB113" s="106"/>
      <c r="AC113" s="106"/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  <c r="BF113" s="106"/>
      <c r="BG113" s="106"/>
      <c r="BH113" s="106"/>
      <c r="BI113" s="106"/>
      <c r="BJ113" s="106"/>
    </row>
    <row r="114" spans="1:62" x14ac:dyDescent="0.3">
      <c r="A114" s="106"/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6"/>
      <c r="BC114" s="106"/>
      <c r="BD114" s="106"/>
      <c r="BE114" s="106"/>
      <c r="BF114" s="106"/>
      <c r="BG114" s="106"/>
      <c r="BH114" s="106"/>
      <c r="BI114" s="106"/>
      <c r="BJ114" s="106"/>
    </row>
    <row r="115" spans="1:62" x14ac:dyDescent="0.3">
      <c r="A115" s="106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6"/>
      <c r="AC115" s="106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106"/>
      <c r="AX115" s="106"/>
      <c r="AY115" s="106"/>
      <c r="AZ115" s="106"/>
      <c r="BA115" s="106"/>
      <c r="BB115" s="106"/>
      <c r="BC115" s="106"/>
      <c r="BD115" s="106"/>
      <c r="BE115" s="106"/>
      <c r="BF115" s="106"/>
      <c r="BG115" s="106"/>
      <c r="BH115" s="106"/>
      <c r="BI115" s="106"/>
      <c r="BJ115" s="106"/>
    </row>
    <row r="116" spans="1:62" x14ac:dyDescent="0.3">
      <c r="A116" s="106"/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V116" s="106"/>
      <c r="W116" s="106"/>
      <c r="X116" s="106"/>
      <c r="Y116" s="106"/>
      <c r="Z116" s="106"/>
      <c r="AA116" s="106"/>
      <c r="AB116" s="106"/>
      <c r="AC116" s="106"/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  <c r="AN116" s="106"/>
      <c r="AO116" s="106"/>
      <c r="AP116" s="106"/>
      <c r="AQ116" s="106"/>
      <c r="AR116" s="106"/>
      <c r="AS116" s="106"/>
      <c r="AT116" s="106"/>
      <c r="AU116" s="106"/>
      <c r="AV116" s="106"/>
      <c r="AW116" s="106"/>
      <c r="AX116" s="106"/>
      <c r="AY116" s="106"/>
      <c r="AZ116" s="106"/>
      <c r="BA116" s="106"/>
      <c r="BB116" s="106"/>
      <c r="BC116" s="106"/>
      <c r="BD116" s="106"/>
      <c r="BE116" s="106"/>
      <c r="BF116" s="106"/>
      <c r="BG116" s="106"/>
      <c r="BH116" s="106"/>
      <c r="BI116" s="106"/>
      <c r="BJ116" s="106"/>
    </row>
    <row r="117" spans="1:62" x14ac:dyDescent="0.3">
      <c r="A117" s="106"/>
      <c r="B117" s="106"/>
      <c r="C117" s="106"/>
      <c r="D117" s="106"/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106"/>
      <c r="AQ117" s="106"/>
      <c r="AR117" s="106"/>
      <c r="AS117" s="106"/>
      <c r="AT117" s="106"/>
      <c r="AU117" s="106"/>
      <c r="AV117" s="106"/>
      <c r="AW117" s="106"/>
      <c r="AX117" s="106"/>
      <c r="AY117" s="106"/>
      <c r="AZ117" s="106"/>
      <c r="BA117" s="106"/>
      <c r="BB117" s="106"/>
      <c r="BC117" s="106"/>
      <c r="BD117" s="106"/>
      <c r="BE117" s="106"/>
      <c r="BF117" s="106"/>
      <c r="BG117" s="106"/>
      <c r="BH117" s="106"/>
      <c r="BI117" s="106"/>
      <c r="BJ117" s="106"/>
    </row>
    <row r="118" spans="1:62" x14ac:dyDescent="0.3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6"/>
      <c r="BA118" s="106"/>
      <c r="BB118" s="106"/>
      <c r="BC118" s="106"/>
      <c r="BD118" s="106"/>
      <c r="BE118" s="106"/>
      <c r="BF118" s="106"/>
      <c r="BG118" s="106"/>
      <c r="BH118" s="106"/>
      <c r="BI118" s="106"/>
      <c r="BJ118" s="106"/>
    </row>
    <row r="119" spans="1:62" x14ac:dyDescent="0.3">
      <c r="A119" s="106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V119" s="106"/>
      <c r="W119" s="106"/>
      <c r="X119" s="106"/>
      <c r="Y119" s="106"/>
      <c r="Z119" s="106"/>
      <c r="AA119" s="106"/>
      <c r="AB119" s="106"/>
      <c r="AC119" s="106"/>
      <c r="AD119" s="106"/>
      <c r="AE119" s="106"/>
      <c r="AF119" s="106"/>
      <c r="AG119" s="106"/>
      <c r="AH119" s="106"/>
      <c r="AI119" s="106"/>
      <c r="AJ119" s="106"/>
      <c r="AK119" s="106"/>
      <c r="AL119" s="106"/>
      <c r="AM119" s="106"/>
      <c r="AN119" s="106"/>
      <c r="AO119" s="106"/>
      <c r="AP119" s="106"/>
      <c r="AQ119" s="106"/>
      <c r="AR119" s="106"/>
      <c r="AS119" s="106"/>
      <c r="AT119" s="106"/>
      <c r="AU119" s="106"/>
      <c r="AV119" s="106"/>
      <c r="AW119" s="106"/>
      <c r="AX119" s="106"/>
      <c r="AY119" s="106"/>
      <c r="AZ119" s="106"/>
      <c r="BA119" s="106"/>
      <c r="BB119" s="106"/>
      <c r="BC119" s="106"/>
      <c r="BD119" s="106"/>
      <c r="BE119" s="106"/>
      <c r="BF119" s="106"/>
      <c r="BG119" s="106"/>
      <c r="BH119" s="106"/>
      <c r="BI119" s="106"/>
      <c r="BJ119" s="106"/>
    </row>
    <row r="120" spans="1:62" x14ac:dyDescent="0.3">
      <c r="A120" s="106"/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6"/>
      <c r="AD120" s="106"/>
      <c r="AE120" s="106"/>
      <c r="AF120" s="106"/>
      <c r="AG120" s="106"/>
      <c r="AH120" s="106"/>
      <c r="AI120" s="106"/>
      <c r="AJ120" s="106"/>
      <c r="AK120" s="106"/>
      <c r="AL120" s="106"/>
      <c r="AM120" s="106"/>
      <c r="AN120" s="106"/>
      <c r="AO120" s="106"/>
      <c r="AP120" s="106"/>
      <c r="AQ120" s="106"/>
      <c r="AR120" s="106"/>
      <c r="AS120" s="106"/>
      <c r="AT120" s="106"/>
      <c r="AU120" s="106"/>
      <c r="AV120" s="106"/>
      <c r="AW120" s="106"/>
      <c r="AX120" s="106"/>
      <c r="AY120" s="106"/>
      <c r="AZ120" s="106"/>
      <c r="BA120" s="106"/>
      <c r="BB120" s="106"/>
      <c r="BC120" s="106"/>
      <c r="BD120" s="106"/>
      <c r="BE120" s="106"/>
      <c r="BF120" s="106"/>
      <c r="BG120" s="106"/>
      <c r="BH120" s="106"/>
      <c r="BI120" s="106"/>
      <c r="BJ120" s="106"/>
    </row>
    <row r="121" spans="1:62" x14ac:dyDescent="0.3">
      <c r="A121" s="106"/>
      <c r="B121" s="106"/>
      <c r="C121" s="106"/>
      <c r="D121" s="106"/>
      <c r="E121" s="10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6"/>
      <c r="AD121" s="106"/>
      <c r="AE121" s="106"/>
      <c r="AF121" s="106"/>
      <c r="AG121" s="106"/>
      <c r="AH121" s="106"/>
      <c r="AI121" s="106"/>
      <c r="AJ121" s="106"/>
      <c r="AK121" s="106"/>
      <c r="AL121" s="106"/>
      <c r="AM121" s="106"/>
      <c r="AN121" s="106"/>
      <c r="AO121" s="106"/>
      <c r="AP121" s="106"/>
      <c r="AQ121" s="106"/>
      <c r="AR121" s="106"/>
      <c r="AS121" s="106"/>
      <c r="AT121" s="106"/>
      <c r="AU121" s="106"/>
      <c r="AV121" s="106"/>
      <c r="AW121" s="106"/>
      <c r="AX121" s="106"/>
      <c r="AY121" s="106"/>
      <c r="AZ121" s="106"/>
      <c r="BA121" s="106"/>
      <c r="BB121" s="106"/>
      <c r="BC121" s="106"/>
      <c r="BD121" s="106"/>
      <c r="BE121" s="106"/>
      <c r="BF121" s="106"/>
      <c r="BG121" s="106"/>
      <c r="BH121" s="106"/>
      <c r="BI121" s="106"/>
      <c r="BJ121" s="106"/>
    </row>
    <row r="122" spans="1:62" x14ac:dyDescent="0.3">
      <c r="A122" s="106"/>
      <c r="B122" s="106"/>
      <c r="C122" s="106"/>
      <c r="D122" s="106"/>
      <c r="E122" s="10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6"/>
      <c r="AD122" s="106"/>
      <c r="AE122" s="106"/>
      <c r="AF122" s="106"/>
      <c r="AG122" s="106"/>
      <c r="AH122" s="106"/>
      <c r="AI122" s="106"/>
      <c r="AJ122" s="106"/>
      <c r="AK122" s="106"/>
      <c r="AL122" s="106"/>
      <c r="AM122" s="106"/>
      <c r="AN122" s="106"/>
      <c r="AO122" s="106"/>
      <c r="AP122" s="106"/>
      <c r="AQ122" s="106"/>
      <c r="AR122" s="106"/>
      <c r="AS122" s="106"/>
      <c r="AT122" s="106"/>
      <c r="AU122" s="106"/>
      <c r="AV122" s="106"/>
      <c r="AW122" s="106"/>
      <c r="AX122" s="106"/>
      <c r="AY122" s="106"/>
      <c r="AZ122" s="106"/>
      <c r="BA122" s="106"/>
      <c r="BB122" s="106"/>
      <c r="BC122" s="106"/>
      <c r="BD122" s="106"/>
      <c r="BE122" s="106"/>
      <c r="BF122" s="106"/>
      <c r="BG122" s="106"/>
      <c r="BH122" s="106"/>
      <c r="BI122" s="106"/>
      <c r="BJ122" s="106"/>
    </row>
    <row r="123" spans="1:62" x14ac:dyDescent="0.3">
      <c r="A123" s="278">
        <f>SUM(B123:B125)</f>
        <v>0</v>
      </c>
      <c r="B123" s="124" t="str">
        <f>IF($E$26="SENSORE IR DOPPIO DA INCASSO",$Q$26,"")</f>
        <v/>
      </c>
    </row>
    <row r="124" spans="1:62" x14ac:dyDescent="0.3">
      <c r="A124" s="278"/>
      <c r="B124" s="124" t="str">
        <f>IF($T$26="SENSORE IR DOPPIO DA INCASSO",$AG$26,"")</f>
        <v/>
      </c>
    </row>
    <row r="125" spans="1:62" x14ac:dyDescent="0.3">
      <c r="A125" s="278"/>
      <c r="B125" s="124" t="str">
        <f>IF($AJ$26="SENSORE IR DOPPIO DA INCASSO",$AU$26,"")</f>
        <v/>
      </c>
    </row>
  </sheetData>
  <sheetProtection algorithmName="SHA-512" hashValue="4ahTb9vgu2v+H2Rz2Tj8ZMpORKRfB0edXxwbqJFoXOBhdpE3o2s76Wel2/Pi5/KkKXxqp3Ve2VgCXZTpe7qvJQ==" saltValue="qzg6D92LjQF5jewfADgIxA==" spinCount="100000" sheet="1" objects="1" scenarios="1" selectLockedCells="1"/>
  <dataConsolidate/>
  <mergeCells count="305">
    <mergeCell ref="J3:O3"/>
    <mergeCell ref="P3:AE3"/>
    <mergeCell ref="A123:A125"/>
    <mergeCell ref="B97:G97"/>
    <mergeCell ref="H97:I97"/>
    <mergeCell ref="J97:M97"/>
    <mergeCell ref="B98:G98"/>
    <mergeCell ref="H98:I98"/>
    <mergeCell ref="J98:M98"/>
    <mergeCell ref="AA83:AB83"/>
    <mergeCell ref="AC83:AE83"/>
    <mergeCell ref="AA73:AB73"/>
    <mergeCell ref="AC73:AE73"/>
    <mergeCell ref="AA59:AU60"/>
    <mergeCell ref="AD61:AM61"/>
    <mergeCell ref="AA62:AE62"/>
    <mergeCell ref="AG62:AJ62"/>
    <mergeCell ref="AA63:AB63"/>
    <mergeCell ref="AC63:AE63"/>
    <mergeCell ref="AF63:AF66"/>
    <mergeCell ref="AG63:AJ66"/>
    <mergeCell ref="AA64:AB64"/>
    <mergeCell ref="AC64:AE64"/>
    <mergeCell ref="AA65:AB65"/>
    <mergeCell ref="AI97:AL97"/>
    <mergeCell ref="AI98:AL98"/>
    <mergeCell ref="R28:AI54"/>
    <mergeCell ref="AJ28:AU54"/>
    <mergeCell ref="AJ55:AU55"/>
    <mergeCell ref="F58:AU58"/>
    <mergeCell ref="B55:D55"/>
    <mergeCell ref="F55:Q55"/>
    <mergeCell ref="R55:U55"/>
    <mergeCell ref="V55:W55"/>
    <mergeCell ref="X55:AI55"/>
    <mergeCell ref="AA96:AF96"/>
    <mergeCell ref="AG96:AH96"/>
    <mergeCell ref="AI96:AL96"/>
    <mergeCell ref="AN61:AU63"/>
    <mergeCell ref="AI92:AL92"/>
    <mergeCell ref="AA93:AF93"/>
    <mergeCell ref="AG93:AH93"/>
    <mergeCell ref="AI93:AL93"/>
    <mergeCell ref="AA94:AF94"/>
    <mergeCell ref="AG94:AH94"/>
    <mergeCell ref="AI94:AL94"/>
    <mergeCell ref="AA95:AF95"/>
    <mergeCell ref="AG95:AH95"/>
    <mergeCell ref="AI95:AL95"/>
    <mergeCell ref="AB88:AH88"/>
    <mergeCell ref="AI88:AL88"/>
    <mergeCell ref="AB89:AF89"/>
    <mergeCell ref="AG89:AH89"/>
    <mergeCell ref="AI89:AL89"/>
    <mergeCell ref="AB90:AF90"/>
    <mergeCell ref="AG90:AH90"/>
    <mergeCell ref="AI90:AL90"/>
    <mergeCell ref="AB91:AF91"/>
    <mergeCell ref="AG91:AH91"/>
    <mergeCell ref="AI91:AL91"/>
    <mergeCell ref="AF83:AF86"/>
    <mergeCell ref="AG83:AJ86"/>
    <mergeCell ref="AA84:AB84"/>
    <mergeCell ref="AC84:AE84"/>
    <mergeCell ref="AA85:AB85"/>
    <mergeCell ref="AC85:AE85"/>
    <mergeCell ref="AB86:AE86"/>
    <mergeCell ref="AA78:AB78"/>
    <mergeCell ref="AC78:AE78"/>
    <mergeCell ref="AF78:AF81"/>
    <mergeCell ref="AG78:AJ81"/>
    <mergeCell ref="AA79:AB79"/>
    <mergeCell ref="AC79:AE79"/>
    <mergeCell ref="AA80:AB80"/>
    <mergeCell ref="AC80:AE80"/>
    <mergeCell ref="AB81:AE81"/>
    <mergeCell ref="B15:H15"/>
    <mergeCell ref="E61:N61"/>
    <mergeCell ref="B62:F62"/>
    <mergeCell ref="H62:K62"/>
    <mergeCell ref="H63:K66"/>
    <mergeCell ref="AF73:AF76"/>
    <mergeCell ref="AG73:AJ76"/>
    <mergeCell ref="AA74:AB74"/>
    <mergeCell ref="AC74:AE74"/>
    <mergeCell ref="AA75:AB75"/>
    <mergeCell ref="AC75:AE75"/>
    <mergeCell ref="AB76:AE76"/>
    <mergeCell ref="AA68:AB68"/>
    <mergeCell ref="AC68:AE68"/>
    <mergeCell ref="AF68:AF71"/>
    <mergeCell ref="AG68:AJ71"/>
    <mergeCell ref="AA69:AB69"/>
    <mergeCell ref="AC69:AE69"/>
    <mergeCell ref="AA70:AB70"/>
    <mergeCell ref="AC70:AE70"/>
    <mergeCell ref="AB71:AE71"/>
    <mergeCell ref="B18:F19"/>
    <mergeCell ref="G18:H19"/>
    <mergeCell ref="AC65:AE65"/>
    <mergeCell ref="AB66:AE66"/>
    <mergeCell ref="O61:AC61"/>
    <mergeCell ref="O62:Z62"/>
    <mergeCell ref="U60:Y60"/>
    <mergeCell ref="AJ26:AS27"/>
    <mergeCell ref="T26:AD27"/>
    <mergeCell ref="B24:F25"/>
    <mergeCell ref="AR3:AU24"/>
    <mergeCell ref="J5:O5"/>
    <mergeCell ref="Q5:V5"/>
    <mergeCell ref="X5:AC5"/>
    <mergeCell ref="AF3:AQ4"/>
    <mergeCell ref="B14:H14"/>
    <mergeCell ref="B13:H13"/>
    <mergeCell ref="B26:D27"/>
    <mergeCell ref="E26:N27"/>
    <mergeCell ref="O26:P27"/>
    <mergeCell ref="Q26:R27"/>
    <mergeCell ref="J14:K14"/>
    <mergeCell ref="L14:M14"/>
    <mergeCell ref="N14:O14"/>
    <mergeCell ref="Q14:R14"/>
    <mergeCell ref="J13:L13"/>
    <mergeCell ref="Q13:S13"/>
    <mergeCell ref="B20:F21"/>
    <mergeCell ref="G20:H21"/>
    <mergeCell ref="G22:H23"/>
    <mergeCell ref="G24:H25"/>
    <mergeCell ref="B22:F23"/>
    <mergeCell ref="B16:F17"/>
    <mergeCell ref="G16:H17"/>
    <mergeCell ref="AE6:AJ6"/>
    <mergeCell ref="AL6:AQ6"/>
    <mergeCell ref="AL7:AQ7"/>
    <mergeCell ref="AL8:AQ8"/>
    <mergeCell ref="AL9:AQ9"/>
    <mergeCell ref="AE7:AJ7"/>
    <mergeCell ref="AE8:AJ8"/>
    <mergeCell ref="AE9:AJ9"/>
    <mergeCell ref="AE10:AJ10"/>
    <mergeCell ref="B7:H7"/>
    <mergeCell ref="B10:H10"/>
    <mergeCell ref="B9:H9"/>
    <mergeCell ref="J9:O9"/>
    <mergeCell ref="J10:O10"/>
    <mergeCell ref="B12:H12"/>
    <mergeCell ref="B11:H11"/>
    <mergeCell ref="Q10:V10"/>
    <mergeCell ref="AV26:AW27"/>
    <mergeCell ref="AT26:AT27"/>
    <mergeCell ref="J16:O25"/>
    <mergeCell ref="Q16:V25"/>
    <mergeCell ref="X16:AC25"/>
    <mergeCell ref="AE16:AJ25"/>
    <mergeCell ref="AL16:AQ25"/>
    <mergeCell ref="AL15:AN15"/>
    <mergeCell ref="AO15:AQ15"/>
    <mergeCell ref="AA15:AC15"/>
    <mergeCell ref="AE15:AG15"/>
    <mergeCell ref="AH15:AJ15"/>
    <mergeCell ref="T15:V15"/>
    <mergeCell ref="Q15:S15"/>
    <mergeCell ref="J15:L15"/>
    <mergeCell ref="M15:O15"/>
    <mergeCell ref="AU26:AU27"/>
    <mergeCell ref="AE26:AF27"/>
    <mergeCell ref="AG26:AH27"/>
    <mergeCell ref="AT2:AU2"/>
    <mergeCell ref="X15:Z15"/>
    <mergeCell ref="AE12:AG12"/>
    <mergeCell ref="AH12:AJ12"/>
    <mergeCell ref="AE13:AG13"/>
    <mergeCell ref="AH13:AJ13"/>
    <mergeCell ref="X12:Z12"/>
    <mergeCell ref="AA12:AC12"/>
    <mergeCell ref="X13:Z13"/>
    <mergeCell ref="AA13:AC13"/>
    <mergeCell ref="AO13:AQ13"/>
    <mergeCell ref="X7:AC7"/>
    <mergeCell ref="AE14:AF14"/>
    <mergeCell ref="AG14:AH14"/>
    <mergeCell ref="AI14:AJ14"/>
    <mergeCell ref="AL14:AM14"/>
    <mergeCell ref="AN14:AO14"/>
    <mergeCell ref="AP14:AQ14"/>
    <mergeCell ref="X6:AC6"/>
    <mergeCell ref="AL13:AN13"/>
    <mergeCell ref="AL10:AQ10"/>
    <mergeCell ref="AL11:AQ11"/>
    <mergeCell ref="AL12:AN12"/>
    <mergeCell ref="AO12:AQ12"/>
    <mergeCell ref="U14:V14"/>
    <mergeCell ref="X14:Y14"/>
    <mergeCell ref="Z14:AA14"/>
    <mergeCell ref="AB14:AC14"/>
    <mergeCell ref="T13:V13"/>
    <mergeCell ref="Q12:S12"/>
    <mergeCell ref="X11:AC11"/>
    <mergeCell ref="X9:AC9"/>
    <mergeCell ref="X10:AC10"/>
    <mergeCell ref="T12:V12"/>
    <mergeCell ref="Q9:V9"/>
    <mergeCell ref="S14:T14"/>
    <mergeCell ref="AH2:AR2"/>
    <mergeCell ref="P2:AD2"/>
    <mergeCell ref="M12:O12"/>
    <mergeCell ref="M13:O13"/>
    <mergeCell ref="J12:L12"/>
    <mergeCell ref="Q11:V11"/>
    <mergeCell ref="B8:H8"/>
    <mergeCell ref="J8:O8"/>
    <mergeCell ref="Q4:AE4"/>
    <mergeCell ref="J11:O11"/>
    <mergeCell ref="AE5:AJ5"/>
    <mergeCell ref="AL5:AQ5"/>
    <mergeCell ref="B5:G5"/>
    <mergeCell ref="J2:O2"/>
    <mergeCell ref="AE2:AG2"/>
    <mergeCell ref="B6:H6"/>
    <mergeCell ref="J6:O6"/>
    <mergeCell ref="J4:O4"/>
    <mergeCell ref="J7:O7"/>
    <mergeCell ref="Q6:V6"/>
    <mergeCell ref="AE11:AJ11"/>
    <mergeCell ref="Q7:V7"/>
    <mergeCell ref="Q8:V8"/>
    <mergeCell ref="X8:AC8"/>
    <mergeCell ref="B63:C63"/>
    <mergeCell ref="D63:F63"/>
    <mergeCell ref="B28:Q54"/>
    <mergeCell ref="F56:AU57"/>
    <mergeCell ref="B56:B58"/>
    <mergeCell ref="C56:E58"/>
    <mergeCell ref="C76:F76"/>
    <mergeCell ref="B68:C68"/>
    <mergeCell ref="D68:F68"/>
    <mergeCell ref="G68:G71"/>
    <mergeCell ref="B69:C69"/>
    <mergeCell ref="D69:F69"/>
    <mergeCell ref="B59:F59"/>
    <mergeCell ref="H73:K76"/>
    <mergeCell ref="G59:Y59"/>
    <mergeCell ref="G63:G66"/>
    <mergeCell ref="B60:C60"/>
    <mergeCell ref="B61:D61"/>
    <mergeCell ref="D60:Q60"/>
    <mergeCell ref="R60:T60"/>
    <mergeCell ref="B64:C64"/>
    <mergeCell ref="D64:F64"/>
    <mergeCell ref="B65:C65"/>
    <mergeCell ref="D65:F65"/>
    <mergeCell ref="C66:F66"/>
    <mergeCell ref="B96:G96"/>
    <mergeCell ref="H96:I96"/>
    <mergeCell ref="J96:M96"/>
    <mergeCell ref="C88:I88"/>
    <mergeCell ref="C91:G91"/>
    <mergeCell ref="H91:I91"/>
    <mergeCell ref="J91:M91"/>
    <mergeCell ref="J92:M92"/>
    <mergeCell ref="B93:G93"/>
    <mergeCell ref="H93:I93"/>
    <mergeCell ref="J93:M93"/>
    <mergeCell ref="B94:G94"/>
    <mergeCell ref="H94:I94"/>
    <mergeCell ref="J94:M94"/>
    <mergeCell ref="J88:M88"/>
    <mergeCell ref="C89:G89"/>
    <mergeCell ref="B70:C70"/>
    <mergeCell ref="B74:C74"/>
    <mergeCell ref="D74:F74"/>
    <mergeCell ref="B75:C75"/>
    <mergeCell ref="D75:F75"/>
    <mergeCell ref="H78:K81"/>
    <mergeCell ref="B78:C78"/>
    <mergeCell ref="D78:F78"/>
    <mergeCell ref="G78:G81"/>
    <mergeCell ref="H68:K71"/>
    <mergeCell ref="D70:F70"/>
    <mergeCell ref="C71:F71"/>
    <mergeCell ref="B73:C73"/>
    <mergeCell ref="D73:F73"/>
    <mergeCell ref="G73:G76"/>
    <mergeCell ref="B79:C79"/>
    <mergeCell ref="D79:F79"/>
    <mergeCell ref="B80:C80"/>
    <mergeCell ref="D80:F80"/>
    <mergeCell ref="C81:F81"/>
    <mergeCell ref="B95:G95"/>
    <mergeCell ref="H95:I95"/>
    <mergeCell ref="J95:M95"/>
    <mergeCell ref="H83:K86"/>
    <mergeCell ref="B83:C83"/>
    <mergeCell ref="D83:F83"/>
    <mergeCell ref="G83:G86"/>
    <mergeCell ref="B84:C84"/>
    <mergeCell ref="D84:F84"/>
    <mergeCell ref="B85:C85"/>
    <mergeCell ref="D85:F85"/>
    <mergeCell ref="C86:F86"/>
    <mergeCell ref="H89:I89"/>
    <mergeCell ref="J89:M89"/>
    <mergeCell ref="C90:G90"/>
    <mergeCell ref="H90:I90"/>
    <mergeCell ref="J90:M90"/>
  </mergeCells>
  <phoneticPr fontId="24" type="noConversion"/>
  <conditionalFormatting sqref="B4:C4">
    <cfRule type="expression" dxfId="94" priority="490">
      <formula>#REF!="CERNIERE INVISIBILI DS 20"</formula>
    </cfRule>
  </conditionalFormatting>
  <conditionalFormatting sqref="E26:N27">
    <cfRule type="expression" dxfId="93" priority="172">
      <formula>$E$26&lt;&gt;""</formula>
    </cfRule>
  </conditionalFormatting>
  <conditionalFormatting sqref="G20:H25">
    <cfRule type="expression" dxfId="92" priority="103">
      <formula>$G$20:$H$25&lt;&gt;""</formula>
    </cfRule>
    <cfRule type="expression" dxfId="91" priority="104">
      <formula>$G$24&lt;&gt;""</formula>
    </cfRule>
    <cfRule type="expression" dxfId="90" priority="105">
      <formula>$G$22&lt;&gt;""</formula>
    </cfRule>
    <cfRule type="expression" dxfId="89" priority="106">
      <formula>$J$14&lt;&gt;""</formula>
    </cfRule>
  </conditionalFormatting>
  <conditionalFormatting sqref="J14">
    <cfRule type="expression" dxfId="88" priority="205">
      <formula>$J$14&lt;&gt;""</formula>
    </cfRule>
    <cfRule type="expression" dxfId="87" priority="286">
      <formula>$J$11&lt;&gt;""</formula>
    </cfRule>
  </conditionalFormatting>
  <conditionalFormatting sqref="J14:K14">
    <cfRule type="expression" dxfId="86" priority="53">
      <formula>$Q$4="jl cob incasso"</formula>
    </cfRule>
  </conditionalFormatting>
  <conditionalFormatting sqref="J12:L13">
    <cfRule type="expression" dxfId="85" priority="290">
      <formula>M12&lt;&gt;""</formula>
    </cfRule>
  </conditionalFormatting>
  <conditionalFormatting sqref="J6:O6">
    <cfRule type="expression" dxfId="84" priority="1">
      <formula>$J$6&lt;&gt;""</formula>
    </cfRule>
    <cfRule type="expression" dxfId="83" priority="111">
      <formula>$Q$4="SPORGENTE INCLINATA MEC 3 profilo NERO"</formula>
    </cfRule>
    <cfRule type="expression" dxfId="82" priority="33">
      <formula>$Q$4="INCASSO INCLINATA RIFT"</formula>
    </cfRule>
    <cfRule type="expression" dxfId="81" priority="135">
      <formula>$Q$4="INCASSO INCLINATA MEC 4"</formula>
    </cfRule>
    <cfRule type="expression" dxfId="80" priority="134">
      <formula>$Q$4="SPORGENTE INCLINATA MEC 3 profilo GRIGIO"</formula>
    </cfRule>
  </conditionalFormatting>
  <conditionalFormatting sqref="J7:O7">
    <cfRule type="expression" dxfId="79" priority="110">
      <formula>$J$6&lt;&gt;""</formula>
    </cfRule>
    <cfRule type="expression" dxfId="78" priority="116">
      <formula>$Q$4="SPORGENTE INCLINATA MEC 3"</formula>
    </cfRule>
    <cfRule type="expression" dxfId="77" priority="129">
      <formula>$Q$4="INCASSO INCLINATA MEC 4"</formula>
    </cfRule>
    <cfRule type="expression" dxfId="76" priority="130">
      <formula>$Q$4="INCASSO INCLINATA RIFT"</formula>
    </cfRule>
    <cfRule type="expression" dxfId="75" priority="133">
      <formula>$Q$4&lt;&gt;""</formula>
    </cfRule>
    <cfRule type="expression" dxfId="74" priority="32">
      <formula>$Q$4=""</formula>
    </cfRule>
    <cfRule type="expression" dxfId="73" priority="132">
      <formula>$Q$4&lt;&gt;"INCASSO INCLINATA MEC 4"</formula>
    </cfRule>
    <cfRule type="expression" dxfId="72" priority="107">
      <formula>$J$7&lt;&gt;""</formula>
    </cfRule>
    <cfRule type="expression" dxfId="71" priority="131">
      <formula>$Q$4&lt;&gt;"SPORGENTE MEC 3"</formula>
    </cfRule>
  </conditionalFormatting>
  <conditionalFormatting sqref="J8:O8">
    <cfRule type="expression" dxfId="70" priority="127">
      <formula>$J$8&lt;&gt;""</formula>
    </cfRule>
    <cfRule type="expression" dxfId="69" priority="128">
      <formula>$J$7&lt;&gt;""</formula>
    </cfRule>
  </conditionalFormatting>
  <conditionalFormatting sqref="J9:O9">
    <cfRule type="expression" dxfId="68" priority="122">
      <formula>$J$8&lt;&gt;""</formula>
    </cfRule>
    <cfRule type="expression" dxfId="67" priority="121">
      <formula>$B$9=""</formula>
    </cfRule>
    <cfRule type="expression" dxfId="66" priority="120">
      <formula>$J$9&lt;&gt;""</formula>
    </cfRule>
  </conditionalFormatting>
  <conditionalFormatting sqref="J10:O10">
    <cfRule type="expression" dxfId="65" priority="125">
      <formula>$B$9&lt;&gt;""</formula>
    </cfRule>
    <cfRule type="expression" dxfId="64" priority="124">
      <formula>$J$9&lt;&gt;""</formula>
    </cfRule>
    <cfRule type="expression" dxfId="63" priority="123">
      <formula>$J$10&lt;&gt;""</formula>
    </cfRule>
    <cfRule type="expression" dxfId="62" priority="126">
      <formula>$J$8&lt;&gt;""</formula>
    </cfRule>
  </conditionalFormatting>
  <conditionalFormatting sqref="J11:O11">
    <cfRule type="expression" dxfId="61" priority="119">
      <formula>$J$10&lt;&gt;""</formula>
    </cfRule>
    <cfRule type="expression" dxfId="60" priority="118">
      <formula>$J$11&lt;&gt;""</formula>
    </cfRule>
    <cfRule type="expression" dxfId="59" priority="287">
      <formula>$M$12&lt;&gt;""</formula>
    </cfRule>
  </conditionalFormatting>
  <conditionalFormatting sqref="J14:O14">
    <cfRule type="expression" dxfId="58" priority="38">
      <formula>$Q$4="INCASSO INCLINATA RIFT"</formula>
    </cfRule>
    <cfRule type="expression" dxfId="57" priority="204">
      <formula>$Q$4="INCASSO DRITTA LINIE"</formula>
    </cfRule>
  </conditionalFormatting>
  <conditionalFormatting sqref="L14:M14">
    <cfRule type="expression" dxfId="56" priority="117">
      <formula>$N$14&lt;&gt;""</formula>
    </cfRule>
  </conditionalFormatting>
  <conditionalFormatting sqref="O72">
    <cfRule type="expression" dxfId="55" priority="303">
      <formula>$AH$31&gt;0</formula>
    </cfRule>
    <cfRule type="expression" dxfId="54" priority="302">
      <formula>$AB$31&gt;0</formula>
    </cfRule>
    <cfRule type="expression" dxfId="53" priority="301">
      <formula>$X$31&lt;&gt;""</formula>
    </cfRule>
    <cfRule type="expression" dxfId="52" priority="300">
      <formula>$AH$31&lt;&gt;""</formula>
    </cfRule>
  </conditionalFormatting>
  <conditionalFormatting sqref="O26:R27">
    <cfRule type="expression" dxfId="51" priority="178">
      <formula>$Q$26&lt;&gt;""</formula>
    </cfRule>
    <cfRule type="expression" dxfId="50" priority="179">
      <formula>$E$26&lt;&gt;""</formula>
    </cfRule>
  </conditionalFormatting>
  <conditionalFormatting sqref="P22:P23 W22:W23 AD22:AD23">
    <cfRule type="containsText" dxfId="49" priority="452" operator="containsText" text="SELEZIONARE">
      <formula>NOT(ISERROR(SEARCH("SELEZIONARE",P22)))</formula>
    </cfRule>
  </conditionalFormatting>
  <conditionalFormatting sqref="P14:R14 U14:Y14 AB14:AF14 AI14:AM14 AP14:AQ14">
    <cfRule type="expression" dxfId="48" priority="70">
      <formula>$Q$4="INCASSO DRITTA LINIE"</formula>
    </cfRule>
  </conditionalFormatting>
  <conditionalFormatting sqref="P2:AD2">
    <cfRule type="expression" dxfId="47" priority="145">
      <formula>$P$2=""</formula>
    </cfRule>
    <cfRule type="expression" dxfId="46" priority="144">
      <formula>$P$2&lt;&gt;""</formula>
    </cfRule>
  </conditionalFormatting>
  <conditionalFormatting sqref="P3:AE3">
    <cfRule type="expression" dxfId="45" priority="31">
      <formula>$P$3="CLICCA QUI"</formula>
    </cfRule>
  </conditionalFormatting>
  <conditionalFormatting sqref="Q14">
    <cfRule type="expression" dxfId="44" priority="167">
      <formula>$Q$11&lt;&gt;""</formula>
    </cfRule>
    <cfRule type="expression" dxfId="43" priority="90">
      <formula>$Q$14&lt;&gt;""</formula>
    </cfRule>
  </conditionalFormatting>
  <conditionalFormatting sqref="Q14:R14">
    <cfRule type="expression" dxfId="42" priority="52">
      <formula>$Q$4="jl cob incasso"</formula>
    </cfRule>
  </conditionalFormatting>
  <conditionalFormatting sqref="Q12:S13">
    <cfRule type="expression" dxfId="41" priority="26">
      <formula>T12&lt;&gt;""</formula>
    </cfRule>
  </conditionalFormatting>
  <conditionalFormatting sqref="Q11:V11">
    <cfRule type="expression" dxfId="40" priority="168">
      <formula>$T$12&lt;&gt;""</formula>
    </cfRule>
  </conditionalFormatting>
  <conditionalFormatting sqref="Q14:V14">
    <cfRule type="expression" dxfId="39" priority="20">
      <formula>$Q$4="INCASSO INCLINATA RIFT"</formula>
    </cfRule>
  </conditionalFormatting>
  <conditionalFormatting sqref="Q4:AE4">
    <cfRule type="expression" dxfId="38" priority="136">
      <formula>$Q$4&lt;&gt;""</formula>
    </cfRule>
    <cfRule type="expression" dxfId="37" priority="137">
      <formula>$AH$2&lt;&gt;""</formula>
    </cfRule>
  </conditionalFormatting>
  <conditionalFormatting sqref="S14:T14">
    <cfRule type="expression" dxfId="36" priority="21">
      <formula>$N$14&lt;&gt;""</formula>
    </cfRule>
    <cfRule type="expression" dxfId="35" priority="22">
      <formula>$Q$4="INCASSO DRITTA LINIE"</formula>
    </cfRule>
  </conditionalFormatting>
  <conditionalFormatting sqref="T26:AD27">
    <cfRule type="expression" dxfId="34" priority="173">
      <formula>$T$26&lt;&gt;""</formula>
    </cfRule>
    <cfRule type="expression" dxfId="33" priority="289">
      <formula>$Q$26&lt;&gt;""</formula>
    </cfRule>
  </conditionalFormatting>
  <conditionalFormatting sqref="X14">
    <cfRule type="expression" dxfId="32" priority="166">
      <formula>$X$11&lt;&gt;""</formula>
    </cfRule>
  </conditionalFormatting>
  <conditionalFormatting sqref="X14:Y14">
    <cfRule type="expression" dxfId="31" priority="89">
      <formula>$X$14&lt;&gt;""</formula>
    </cfRule>
    <cfRule type="expression" dxfId="30" priority="51">
      <formula>$Q$4="jl cob incasso"</formula>
    </cfRule>
  </conditionalFormatting>
  <conditionalFormatting sqref="X12:Z13">
    <cfRule type="expression" dxfId="29" priority="25">
      <formula>AA12&lt;&gt;""</formula>
    </cfRule>
  </conditionalFormatting>
  <conditionalFormatting sqref="X11:AC11">
    <cfRule type="expression" dxfId="28" priority="162">
      <formula>$AA$12&lt;&gt;""</formula>
    </cfRule>
  </conditionalFormatting>
  <conditionalFormatting sqref="X14:AC14">
    <cfRule type="expression" dxfId="27" priority="8">
      <formula>$Q$4="INCASSO INCLINATA RIFT"</formula>
    </cfRule>
  </conditionalFormatting>
  <conditionalFormatting sqref="Z14:AA14">
    <cfRule type="expression" dxfId="26" priority="10">
      <formula>$Q$4="INCASSO DRITTA LINIE"</formula>
    </cfRule>
    <cfRule type="expression" dxfId="25" priority="9">
      <formula>$N$14&lt;&gt;""</formula>
    </cfRule>
  </conditionalFormatting>
  <conditionalFormatting sqref="AE14:AF14">
    <cfRule type="expression" dxfId="24" priority="165">
      <formula>$AE$11&lt;&gt;""</formula>
    </cfRule>
    <cfRule type="expression" dxfId="23" priority="72">
      <formula>$AE$14&lt;&gt;""</formula>
    </cfRule>
    <cfRule type="expression" dxfId="22" priority="50">
      <formula>$Q$4="jl cob incasso"</formula>
    </cfRule>
  </conditionalFormatting>
  <conditionalFormatting sqref="AE12:AG13">
    <cfRule type="expression" dxfId="21" priority="24">
      <formula>AH12&lt;&gt;""</formula>
    </cfRule>
  </conditionalFormatting>
  <conditionalFormatting sqref="AE26:AH27">
    <cfRule type="expression" dxfId="20" priority="177">
      <formula>$T$26&lt;&gt;""</formula>
    </cfRule>
    <cfRule type="expression" dxfId="19" priority="176">
      <formula>$AG$26&lt;&gt;""</formula>
    </cfRule>
  </conditionalFormatting>
  <conditionalFormatting sqref="AE11:AJ11">
    <cfRule type="expression" dxfId="18" priority="156">
      <formula>$AH$12&lt;&gt;""</formula>
    </cfRule>
  </conditionalFormatting>
  <conditionalFormatting sqref="AE14:AJ14">
    <cfRule type="expression" dxfId="17" priority="5">
      <formula>$Q$4="INCASSO INCLINATA RIFT"</formula>
    </cfRule>
  </conditionalFormatting>
  <conditionalFormatting sqref="AG14:AH14">
    <cfRule type="expression" dxfId="16" priority="7">
      <formula>$Q$4="INCASSO DRITTA LINIE"</formula>
    </cfRule>
    <cfRule type="expression" dxfId="15" priority="6">
      <formula>$N$14&lt;&gt;""</formula>
    </cfRule>
  </conditionalFormatting>
  <conditionalFormatting sqref="AH2:AR2">
    <cfRule type="expression" dxfId="14" priority="143">
      <formula>$P$2&lt;&gt;""</formula>
    </cfRule>
    <cfRule type="expression" dxfId="13" priority="142">
      <formula>$AH$2&lt;&gt;""</formula>
    </cfRule>
  </conditionalFormatting>
  <conditionalFormatting sqref="AJ26:AS27">
    <cfRule type="expression" dxfId="12" priority="171">
      <formula>$AJ$26&lt;&gt;""</formula>
    </cfRule>
    <cfRule type="expression" dxfId="11" priority="288">
      <formula>$AG$26&lt;&gt;""</formula>
    </cfRule>
  </conditionalFormatting>
  <conditionalFormatting sqref="AL14:AM14">
    <cfRule type="expression" dxfId="10" priority="91">
      <formula>$AL$11&lt;&gt;""</formula>
    </cfRule>
    <cfRule type="expression" dxfId="9" priority="71">
      <formula>$AL$14&lt;&gt;""</formula>
    </cfRule>
    <cfRule type="expression" dxfId="8" priority="49">
      <formula>$Q$4="jl cob incasso"</formula>
    </cfRule>
  </conditionalFormatting>
  <conditionalFormatting sqref="AL12:AN13">
    <cfRule type="expression" dxfId="7" priority="23">
      <formula>AO12&lt;&gt;""</formula>
    </cfRule>
  </conditionalFormatting>
  <conditionalFormatting sqref="AL14:AO14">
    <cfRule type="expression" dxfId="6" priority="2">
      <formula>$Q$4="INCASSO INCLINATA RIFT"</formula>
    </cfRule>
  </conditionalFormatting>
  <conditionalFormatting sqref="AL11:AQ11">
    <cfRule type="expression" dxfId="5" priority="150">
      <formula>$AO$12&lt;&gt;""</formula>
    </cfRule>
  </conditionalFormatting>
  <conditionalFormatting sqref="AN14:AO14">
    <cfRule type="expression" dxfId="4" priority="4">
      <formula>$Q$4="INCASSO DRITTA LINIE"</formula>
    </cfRule>
    <cfRule type="expression" dxfId="3" priority="3">
      <formula>$N$14&lt;&gt;""</formula>
    </cfRule>
  </conditionalFormatting>
  <conditionalFormatting sqref="AP14:AQ14">
    <cfRule type="expression" dxfId="2" priority="35">
      <formula>$Q$4="INCASSO INCLINATA RIFT"</formula>
    </cfRule>
  </conditionalFormatting>
  <conditionalFormatting sqref="AR26:AU27">
    <cfRule type="expression" dxfId="1" priority="174">
      <formula>$AU$26&lt;&gt;""</formula>
    </cfRule>
    <cfRule type="expression" dxfId="0" priority="175">
      <formula>$AJ$26&lt;&gt;""</formula>
    </cfRule>
  </conditionalFormatting>
  <pageMargins left="0" right="0" top="0.35433070866141736" bottom="0.35433070866141736" header="0.31496062992125984" footer="0.31496062992125984"/>
  <pageSetup paperSize="9" orientation="landscape" r:id="rId1"/>
  <headerFooter scaleWithDoc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F8E1A70-1C36-4DF7-8DDE-3D873AE1B277}">
          <x14:formula1>
            <xm:f>INDIRECT(DATI!$AD$157)</xm:f>
          </x14:formula1>
          <xm:sqref>J10:O10 AL10:AQ10 X10:AC10 AE10:AJ10 Q10:V10</xm:sqref>
        </x14:dataValidation>
        <x14:dataValidation type="list" allowBlank="1" showInputMessage="1" showErrorMessage="1" xr:uid="{E118A61C-1583-421A-8DCE-32B5AD1511C1}">
          <x14:formula1>
            <xm:f>DATI!$B$174:$B$175</xm:f>
          </x14:formula1>
          <xm:sqref>J9 AL14 AL9 X14 X9 J14 Q14 Q9 AE14 AE9</xm:sqref>
        </x14:dataValidation>
        <x14:dataValidation type="list" allowBlank="1" showInputMessage="1" showErrorMessage="1" xr:uid="{D91A64EE-8B69-46E9-B0D5-A3594446948F}">
          <x14:formula1>
            <xm:f>DATI!$F$174:$F$175</xm:f>
          </x14:formula1>
          <xm:sqref>J6:O6 Q6:V6 AL6:AQ6 X6:AC6 AE6:AJ6</xm:sqref>
        </x14:dataValidation>
        <x14:dataValidation type="list" allowBlank="1" showInputMessage="1" showErrorMessage="1" xr:uid="{4F905070-68AF-4863-880A-9373FA107C82}">
          <x14:formula1>
            <xm:f>DATI!$AC$110:$AC$119</xm:f>
          </x14:formula1>
          <xm:sqref>Q4:AE4</xm:sqref>
        </x14:dataValidation>
        <x14:dataValidation type="list" allowBlank="1" showInputMessage="1" showErrorMessage="1" xr:uid="{7465043E-3C05-4D90-A6A3-2FA519FA42DE}">
          <x14:formula1>
            <xm:f>DATI!$T$199:$T$203</xm:f>
          </x14:formula1>
          <xm:sqref>P3:AE3</xm:sqref>
        </x14:dataValidation>
        <x14:dataValidation type="list" allowBlank="1" showInputMessage="1" showErrorMessage="1" xr:uid="{69A5010E-8B02-4240-8BB8-2B3914A7A5DF}">
          <x14:formula1>
            <xm:f>DATI!$U$160:$U$175</xm:f>
          </x14:formula1>
          <xm:sqref>AJ26:AS27 E26:N27 T26:AD27</xm:sqref>
        </x14:dataValidation>
        <x14:dataValidation type="list" allowBlank="1" showInputMessage="1" showErrorMessage="1" xr:uid="{AD654E29-5063-4462-95CA-F5B58AD51853}">
          <x14:formula1>
            <xm:f>DATI!$A$173:$A$175</xm:f>
          </x14:formula1>
          <xm:sqref>J8:O8 Q8:V8 X8:AC8 AE8:AJ8 AL8:AQ8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glio12"/>
  <dimension ref="A1:N33"/>
  <sheetViews>
    <sheetView showGridLines="0" showRowColHeaders="0" topLeftCell="A91" workbookViewId="0">
      <selection activeCell="AA138" sqref="AA138"/>
    </sheetView>
  </sheetViews>
  <sheetFormatPr defaultRowHeight="14.4" x14ac:dyDescent="0.3"/>
  <sheetData>
    <row r="1" spans="1:14" ht="15" hidden="1" thickBot="1" x14ac:dyDescent="0.35">
      <c r="A1" s="283"/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5"/>
    </row>
    <row r="2" spans="1:14" ht="15" hidden="1" thickBot="1" x14ac:dyDescent="0.35">
      <c r="A2" s="290" t="s">
        <v>13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2"/>
    </row>
    <row r="3" spans="1:14" hidden="1" x14ac:dyDescent="0.3">
      <c r="A3" s="286" t="s">
        <v>0</v>
      </c>
      <c r="B3" s="287"/>
      <c r="C3" s="287"/>
      <c r="D3" s="19" t="s">
        <v>19</v>
      </c>
      <c r="E3" s="7"/>
      <c r="F3" s="7"/>
      <c r="G3" s="20"/>
      <c r="H3" s="286" t="s">
        <v>0</v>
      </c>
      <c r="I3" s="287"/>
      <c r="J3" s="287"/>
      <c r="K3" s="19" t="s">
        <v>22</v>
      </c>
      <c r="L3" s="7"/>
      <c r="M3" s="7"/>
      <c r="N3" s="20"/>
    </row>
    <row r="4" spans="1:14" hidden="1" x14ac:dyDescent="0.3">
      <c r="A4" s="288" t="s">
        <v>1</v>
      </c>
      <c r="B4" s="289"/>
      <c r="C4" s="289"/>
      <c r="D4" s="8"/>
      <c r="E4" s="8"/>
      <c r="F4" s="8"/>
      <c r="G4" s="9"/>
      <c r="H4" s="288" t="s">
        <v>1</v>
      </c>
      <c r="I4" s="289"/>
      <c r="J4" s="289"/>
      <c r="K4" s="8"/>
      <c r="L4" s="8"/>
      <c r="M4" s="8"/>
      <c r="N4" s="9"/>
    </row>
    <row r="5" spans="1:14" hidden="1" x14ac:dyDescent="0.3">
      <c r="A5" s="288" t="s">
        <v>2</v>
      </c>
      <c r="B5" s="289"/>
      <c r="C5" s="289"/>
      <c r="D5" s="303" t="s">
        <v>15</v>
      </c>
      <c r="E5" s="304"/>
      <c r="F5" s="304"/>
      <c r="G5" s="305"/>
      <c r="H5" s="288" t="s">
        <v>2</v>
      </c>
      <c r="I5" s="289"/>
      <c r="J5" s="289"/>
      <c r="K5" s="303" t="s">
        <v>15</v>
      </c>
      <c r="L5" s="304"/>
      <c r="M5" s="304"/>
      <c r="N5" s="305"/>
    </row>
    <row r="6" spans="1:14" hidden="1" x14ac:dyDescent="0.3">
      <c r="A6" s="288" t="s">
        <v>3</v>
      </c>
      <c r="B6" s="289"/>
      <c r="C6" s="289"/>
      <c r="D6" s="8"/>
      <c r="E6" s="8"/>
      <c r="F6" s="293"/>
      <c r="G6" s="294"/>
      <c r="H6" s="288" t="s">
        <v>3</v>
      </c>
      <c r="I6" s="289"/>
      <c r="J6" s="289"/>
      <c r="K6" s="8"/>
      <c r="L6" s="8"/>
      <c r="M6" s="293"/>
      <c r="N6" s="294"/>
    </row>
    <row r="7" spans="1:14" hidden="1" x14ac:dyDescent="0.3">
      <c r="A7" s="288" t="s">
        <v>7</v>
      </c>
      <c r="B7" s="289"/>
      <c r="C7" s="289"/>
      <c r="D7" s="299" t="s">
        <v>9</v>
      </c>
      <c r="E7" s="300"/>
      <c r="F7" s="293">
        <f>F6</f>
        <v>0</v>
      </c>
      <c r="G7" s="294"/>
      <c r="H7" s="288" t="s">
        <v>7</v>
      </c>
      <c r="I7" s="289"/>
      <c r="J7" s="289"/>
      <c r="K7" s="299" t="s">
        <v>9</v>
      </c>
      <c r="L7" s="300"/>
      <c r="M7" s="293">
        <f>M6</f>
        <v>0</v>
      </c>
      <c r="N7" s="294"/>
    </row>
    <row r="8" spans="1:14" ht="15" hidden="1" thickBot="1" x14ac:dyDescent="0.35">
      <c r="A8" s="301" t="s">
        <v>8</v>
      </c>
      <c r="B8" s="302"/>
      <c r="C8" s="302"/>
      <c r="D8" s="295" t="s">
        <v>16</v>
      </c>
      <c r="E8" s="296"/>
      <c r="F8" s="297">
        <f>F6-14</f>
        <v>-14</v>
      </c>
      <c r="G8" s="298"/>
      <c r="H8" s="301" t="s">
        <v>8</v>
      </c>
      <c r="I8" s="302"/>
      <c r="J8" s="302"/>
      <c r="K8" s="295" t="s">
        <v>16</v>
      </c>
      <c r="L8" s="296"/>
      <c r="M8" s="297">
        <f>M6-14</f>
        <v>-14</v>
      </c>
      <c r="N8" s="298"/>
    </row>
    <row r="9" spans="1:14" hidden="1" x14ac:dyDescent="0.3">
      <c r="A9" s="286" t="s">
        <v>0</v>
      </c>
      <c r="B9" s="287"/>
      <c r="C9" s="287"/>
      <c r="D9" s="19" t="s">
        <v>20</v>
      </c>
      <c r="E9" s="7"/>
      <c r="F9" s="7"/>
      <c r="G9" s="20"/>
      <c r="H9" s="286" t="s">
        <v>0</v>
      </c>
      <c r="I9" s="287"/>
      <c r="J9" s="287"/>
      <c r="K9" s="19" t="s">
        <v>23</v>
      </c>
      <c r="L9" s="7"/>
      <c r="M9" s="7"/>
      <c r="N9" s="20"/>
    </row>
    <row r="10" spans="1:14" hidden="1" x14ac:dyDescent="0.3">
      <c r="A10" s="288" t="s">
        <v>1</v>
      </c>
      <c r="B10" s="289"/>
      <c r="C10" s="289"/>
      <c r="D10" s="8"/>
      <c r="E10" s="8"/>
      <c r="F10" s="8"/>
      <c r="G10" s="9"/>
      <c r="H10" s="288" t="s">
        <v>1</v>
      </c>
      <c r="I10" s="289"/>
      <c r="J10" s="289"/>
      <c r="K10" s="8"/>
      <c r="L10" s="8"/>
      <c r="M10" s="8"/>
      <c r="N10" s="9"/>
    </row>
    <row r="11" spans="1:14" hidden="1" x14ac:dyDescent="0.3">
      <c r="A11" s="288" t="s">
        <v>2</v>
      </c>
      <c r="B11" s="289"/>
      <c r="C11" s="289"/>
      <c r="D11" s="303" t="s">
        <v>15</v>
      </c>
      <c r="E11" s="304"/>
      <c r="F11" s="304"/>
      <c r="G11" s="305"/>
      <c r="H11" s="288" t="s">
        <v>2</v>
      </c>
      <c r="I11" s="289"/>
      <c r="J11" s="289"/>
      <c r="K11" s="303" t="s">
        <v>15</v>
      </c>
      <c r="L11" s="304"/>
      <c r="M11" s="304"/>
      <c r="N11" s="305"/>
    </row>
    <row r="12" spans="1:14" hidden="1" x14ac:dyDescent="0.3">
      <c r="A12" s="288" t="s">
        <v>3</v>
      </c>
      <c r="B12" s="289"/>
      <c r="C12" s="289"/>
      <c r="D12" s="8"/>
      <c r="E12" s="8"/>
      <c r="F12" s="293"/>
      <c r="G12" s="294"/>
      <c r="H12" s="288" t="s">
        <v>3</v>
      </c>
      <c r="I12" s="289"/>
      <c r="J12" s="289"/>
      <c r="K12" s="8"/>
      <c r="L12" s="8"/>
      <c r="M12" s="293"/>
      <c r="N12" s="294"/>
    </row>
    <row r="13" spans="1:14" hidden="1" x14ac:dyDescent="0.3">
      <c r="A13" s="288" t="s">
        <v>7</v>
      </c>
      <c r="B13" s="289"/>
      <c r="C13" s="289"/>
      <c r="D13" s="299" t="s">
        <v>9</v>
      </c>
      <c r="E13" s="300"/>
      <c r="F13" s="293">
        <f>F12</f>
        <v>0</v>
      </c>
      <c r="G13" s="294"/>
      <c r="H13" s="288" t="s">
        <v>7</v>
      </c>
      <c r="I13" s="289"/>
      <c r="J13" s="289"/>
      <c r="K13" s="299" t="s">
        <v>9</v>
      </c>
      <c r="L13" s="300"/>
      <c r="M13" s="293">
        <f>M12</f>
        <v>0</v>
      </c>
      <c r="N13" s="294"/>
    </row>
    <row r="14" spans="1:14" ht="15" hidden="1" thickBot="1" x14ac:dyDescent="0.35">
      <c r="A14" s="301" t="s">
        <v>8</v>
      </c>
      <c r="B14" s="302"/>
      <c r="C14" s="302"/>
      <c r="D14" s="295" t="s">
        <v>16</v>
      </c>
      <c r="E14" s="296"/>
      <c r="F14" s="297">
        <f>F12-14</f>
        <v>-14</v>
      </c>
      <c r="G14" s="298"/>
      <c r="H14" s="301" t="s">
        <v>8</v>
      </c>
      <c r="I14" s="302"/>
      <c r="J14" s="302"/>
      <c r="K14" s="295" t="s">
        <v>16</v>
      </c>
      <c r="L14" s="296"/>
      <c r="M14" s="297">
        <f>M12-14</f>
        <v>-14</v>
      </c>
      <c r="N14" s="298"/>
    </row>
    <row r="15" spans="1:14" hidden="1" x14ac:dyDescent="0.3">
      <c r="A15" s="286" t="s">
        <v>0</v>
      </c>
      <c r="B15" s="287"/>
      <c r="C15" s="287"/>
      <c r="D15" s="19" t="s">
        <v>21</v>
      </c>
      <c r="E15" s="7"/>
      <c r="F15" s="7"/>
      <c r="G15" s="20"/>
      <c r="H15" s="286" t="s">
        <v>0</v>
      </c>
      <c r="I15" s="287"/>
      <c r="J15" s="287"/>
      <c r="K15" s="19" t="s">
        <v>24</v>
      </c>
      <c r="L15" s="7"/>
      <c r="M15" s="7"/>
      <c r="N15" s="20"/>
    </row>
    <row r="16" spans="1:14" hidden="1" x14ac:dyDescent="0.3">
      <c r="A16" s="288" t="s">
        <v>1</v>
      </c>
      <c r="B16" s="289"/>
      <c r="C16" s="289"/>
      <c r="D16" s="8"/>
      <c r="E16" s="8"/>
      <c r="F16" s="8"/>
      <c r="G16" s="9"/>
      <c r="H16" s="288" t="s">
        <v>1</v>
      </c>
      <c r="I16" s="289"/>
      <c r="J16" s="289"/>
      <c r="K16" s="8"/>
      <c r="L16" s="8"/>
      <c r="M16" s="8"/>
      <c r="N16" s="9"/>
    </row>
    <row r="17" spans="1:14" hidden="1" x14ac:dyDescent="0.3">
      <c r="A17" s="288" t="s">
        <v>2</v>
      </c>
      <c r="B17" s="289"/>
      <c r="C17" s="289"/>
      <c r="D17" s="303" t="s">
        <v>15</v>
      </c>
      <c r="E17" s="304"/>
      <c r="F17" s="304"/>
      <c r="G17" s="305"/>
      <c r="H17" s="288" t="s">
        <v>2</v>
      </c>
      <c r="I17" s="289"/>
      <c r="J17" s="289"/>
      <c r="K17" s="303" t="s">
        <v>15</v>
      </c>
      <c r="L17" s="304"/>
      <c r="M17" s="304"/>
      <c r="N17" s="305"/>
    </row>
    <row r="18" spans="1:14" hidden="1" x14ac:dyDescent="0.3">
      <c r="A18" s="288" t="s">
        <v>3</v>
      </c>
      <c r="B18" s="289"/>
      <c r="C18" s="289"/>
      <c r="D18" s="8"/>
      <c r="E18" s="8"/>
      <c r="F18" s="293"/>
      <c r="G18" s="294"/>
      <c r="H18" s="288" t="s">
        <v>3</v>
      </c>
      <c r="I18" s="289"/>
      <c r="J18" s="289"/>
      <c r="K18" s="8"/>
      <c r="L18" s="8"/>
      <c r="M18" s="293"/>
      <c r="N18" s="294"/>
    </row>
    <row r="19" spans="1:14" hidden="1" x14ac:dyDescent="0.3">
      <c r="A19" s="288" t="s">
        <v>7</v>
      </c>
      <c r="B19" s="289"/>
      <c r="C19" s="289"/>
      <c r="D19" s="299" t="s">
        <v>9</v>
      </c>
      <c r="E19" s="300"/>
      <c r="F19" s="293">
        <f>F18</f>
        <v>0</v>
      </c>
      <c r="G19" s="294"/>
      <c r="H19" s="288" t="s">
        <v>7</v>
      </c>
      <c r="I19" s="289"/>
      <c r="J19" s="289"/>
      <c r="K19" s="299" t="s">
        <v>9</v>
      </c>
      <c r="L19" s="300"/>
      <c r="M19" s="293">
        <f>M18</f>
        <v>0</v>
      </c>
      <c r="N19" s="294"/>
    </row>
    <row r="20" spans="1:14" ht="15" hidden="1" thickBot="1" x14ac:dyDescent="0.35">
      <c r="A20" s="301" t="s">
        <v>8</v>
      </c>
      <c r="B20" s="302"/>
      <c r="C20" s="302"/>
      <c r="D20" s="295" t="s">
        <v>16</v>
      </c>
      <c r="E20" s="296"/>
      <c r="F20" s="297">
        <f>F18-14</f>
        <v>-14</v>
      </c>
      <c r="G20" s="298"/>
      <c r="H20" s="301" t="s">
        <v>8</v>
      </c>
      <c r="I20" s="302"/>
      <c r="J20" s="302"/>
      <c r="K20" s="295" t="s">
        <v>16</v>
      </c>
      <c r="L20" s="296"/>
      <c r="M20" s="297">
        <f>M18-14</f>
        <v>-14</v>
      </c>
      <c r="N20" s="298"/>
    </row>
    <row r="21" spans="1:14" ht="15" hidden="1" thickBot="1" x14ac:dyDescent="0.35">
      <c r="A21" s="15" t="s">
        <v>30</v>
      </c>
      <c r="B21" s="15"/>
      <c r="C21" s="15"/>
      <c r="D21" s="22"/>
      <c r="E21" s="6"/>
      <c r="F21" s="6"/>
      <c r="G21" s="6"/>
      <c r="H21" s="6"/>
      <c r="I21" s="17" t="s">
        <v>14</v>
      </c>
      <c r="J21" s="17"/>
      <c r="K21" s="18"/>
      <c r="L21" s="16" t="s">
        <v>25</v>
      </c>
      <c r="M21" s="16" t="s">
        <v>26</v>
      </c>
      <c r="N21" s="16" t="s">
        <v>21</v>
      </c>
    </row>
    <row r="22" spans="1:14" hidden="1" x14ac:dyDescent="0.3">
      <c r="A22" s="15" t="s">
        <v>31</v>
      </c>
      <c r="B22" s="15"/>
      <c r="C22" s="15"/>
      <c r="D22" s="22"/>
      <c r="E22" s="6"/>
      <c r="F22" s="306" t="s">
        <v>12</v>
      </c>
      <c r="G22" s="307"/>
      <c r="H22" s="308"/>
      <c r="I22" s="6"/>
      <c r="J22" s="6"/>
      <c r="K22" s="6"/>
      <c r="L22" s="16" t="s">
        <v>22</v>
      </c>
      <c r="M22" s="16" t="s">
        <v>23</v>
      </c>
      <c r="N22" s="16" t="s">
        <v>24</v>
      </c>
    </row>
    <row r="23" spans="1:14" ht="15" hidden="1" thickBot="1" x14ac:dyDescent="0.35">
      <c r="A23" s="289" t="s">
        <v>27</v>
      </c>
      <c r="B23" s="289"/>
      <c r="C23" s="289"/>
      <c r="D23" s="16"/>
      <c r="E23" s="6"/>
      <c r="F23" s="309"/>
      <c r="G23" s="310"/>
      <c r="H23" s="311"/>
      <c r="I23" s="6"/>
      <c r="J23" s="6"/>
      <c r="K23" s="6"/>
      <c r="L23" s="6"/>
      <c r="M23" s="6"/>
      <c r="N23" s="6"/>
    </row>
    <row r="24" spans="1:14" hidden="1" x14ac:dyDescent="0.3">
      <c r="A24" s="10"/>
      <c r="B24" s="11"/>
      <c r="C24" s="11"/>
      <c r="D24" s="11"/>
      <c r="E24" s="12"/>
      <c r="F24" s="10" t="s">
        <v>17</v>
      </c>
      <c r="G24" s="11"/>
      <c r="H24" s="11"/>
      <c r="I24" s="11"/>
      <c r="J24" s="11"/>
      <c r="K24" s="11"/>
      <c r="L24" s="11"/>
      <c r="M24" s="11"/>
      <c r="N24" s="12"/>
    </row>
    <row r="25" spans="1:14" ht="15" hidden="1" thickBot="1" x14ac:dyDescent="0.35">
      <c r="A25" s="13"/>
      <c r="B25" s="6"/>
      <c r="C25" s="6"/>
      <c r="D25" s="6"/>
      <c r="E25" s="14"/>
      <c r="F25" s="13"/>
      <c r="G25" s="6"/>
      <c r="H25" s="6"/>
      <c r="I25" s="6"/>
      <c r="J25" s="6"/>
      <c r="K25" s="6"/>
      <c r="L25" s="6"/>
      <c r="M25" s="6"/>
      <c r="N25" s="14"/>
    </row>
    <row r="26" spans="1:14" ht="15" hidden="1" thickBot="1" x14ac:dyDescent="0.35">
      <c r="A26" s="13"/>
      <c r="B26" s="6"/>
      <c r="C26" s="6"/>
      <c r="D26" s="6"/>
      <c r="E26" s="14"/>
      <c r="F26" s="13" t="s">
        <v>18</v>
      </c>
      <c r="G26" s="6"/>
      <c r="H26" s="21"/>
      <c r="I26" s="6"/>
      <c r="J26" s="6"/>
      <c r="K26" s="6"/>
      <c r="L26" s="6"/>
      <c r="M26" s="6"/>
      <c r="N26" s="14"/>
    </row>
    <row r="27" spans="1:14" hidden="1" x14ac:dyDescent="0.3">
      <c r="A27" s="1"/>
      <c r="E27" s="2"/>
      <c r="F27" s="1"/>
      <c r="N27" s="2"/>
    </row>
    <row r="28" spans="1:14" hidden="1" x14ac:dyDescent="0.3">
      <c r="A28" s="1"/>
      <c r="E28" s="2"/>
      <c r="F28" s="1"/>
      <c r="N28" s="2"/>
    </row>
    <row r="29" spans="1:14" hidden="1" x14ac:dyDescent="0.3">
      <c r="A29" s="1"/>
      <c r="E29" s="2"/>
      <c r="F29" s="1"/>
      <c r="N29" s="2"/>
    </row>
    <row r="30" spans="1:14" hidden="1" x14ac:dyDescent="0.3">
      <c r="A30" s="1"/>
      <c r="E30" s="2"/>
      <c r="F30" s="1"/>
      <c r="N30" s="2"/>
    </row>
    <row r="31" spans="1:14" hidden="1" x14ac:dyDescent="0.3">
      <c r="A31" s="1"/>
      <c r="E31" s="2"/>
      <c r="F31" s="1"/>
      <c r="N31" s="2"/>
    </row>
    <row r="32" spans="1:14" ht="15" hidden="1" thickBot="1" x14ac:dyDescent="0.35">
      <c r="A32" s="3"/>
      <c r="B32" s="4"/>
      <c r="C32" s="4"/>
      <c r="D32" s="4"/>
      <c r="E32" s="5"/>
      <c r="F32" s="3"/>
      <c r="G32" s="4"/>
      <c r="H32" s="4"/>
      <c r="I32" s="4"/>
      <c r="J32" s="4"/>
      <c r="K32" s="4"/>
      <c r="L32" s="4"/>
      <c r="M32" s="4"/>
      <c r="N32" s="5"/>
    </row>
    <row r="33" hidden="1" x14ac:dyDescent="0.3"/>
  </sheetData>
  <sheetProtection algorithmName="SHA-512" hashValue="gnecl+yGoJIoeEMGqv/BeMo8vygK+ZO7Qy4ljscMGAKyGj69JQDgZ82pRtapREUgjdNMtz+M5W8zdrRz0EVz8Q==" saltValue="+T5JokATm9jGVE6IOyHY/Q==" spinCount="100000" sheet="1" objects="1" scenarios="1" selectLockedCells="1"/>
  <mergeCells count="76">
    <mergeCell ref="A23:C23"/>
    <mergeCell ref="D5:G5"/>
    <mergeCell ref="D11:G11"/>
    <mergeCell ref="D17:G17"/>
    <mergeCell ref="K5:N5"/>
    <mergeCell ref="K11:N11"/>
    <mergeCell ref="K17:N17"/>
    <mergeCell ref="F22:H23"/>
    <mergeCell ref="A20:C20"/>
    <mergeCell ref="D20:E20"/>
    <mergeCell ref="F20:G20"/>
    <mergeCell ref="H20:J20"/>
    <mergeCell ref="K20:L20"/>
    <mergeCell ref="M20:N20"/>
    <mergeCell ref="M18:N18"/>
    <mergeCell ref="A19:C19"/>
    <mergeCell ref="D19:E19"/>
    <mergeCell ref="F19:G19"/>
    <mergeCell ref="H19:J19"/>
    <mergeCell ref="K19:L19"/>
    <mergeCell ref="M19:N19"/>
    <mergeCell ref="A17:C17"/>
    <mergeCell ref="H17:J17"/>
    <mergeCell ref="A18:C18"/>
    <mergeCell ref="F18:G18"/>
    <mergeCell ref="H18:J18"/>
    <mergeCell ref="A15:C15"/>
    <mergeCell ref="H15:J15"/>
    <mergeCell ref="A16:C16"/>
    <mergeCell ref="H16:J16"/>
    <mergeCell ref="A14:C14"/>
    <mergeCell ref="D14:E14"/>
    <mergeCell ref="F14:G14"/>
    <mergeCell ref="H14:J14"/>
    <mergeCell ref="K14:L14"/>
    <mergeCell ref="M14:N14"/>
    <mergeCell ref="M12:N12"/>
    <mergeCell ref="A13:C13"/>
    <mergeCell ref="D13:E13"/>
    <mergeCell ref="F13:G13"/>
    <mergeCell ref="H13:J13"/>
    <mergeCell ref="K13:L13"/>
    <mergeCell ref="M13:N13"/>
    <mergeCell ref="A11:C11"/>
    <mergeCell ref="H11:J11"/>
    <mergeCell ref="A12:C12"/>
    <mergeCell ref="F12:G12"/>
    <mergeCell ref="H12:J12"/>
    <mergeCell ref="A9:C9"/>
    <mergeCell ref="H9:J9"/>
    <mergeCell ref="A10:C10"/>
    <mergeCell ref="H10:J10"/>
    <mergeCell ref="A8:C8"/>
    <mergeCell ref="D8:E8"/>
    <mergeCell ref="F8:G8"/>
    <mergeCell ref="H8:J8"/>
    <mergeCell ref="K8:L8"/>
    <mergeCell ref="M8:N8"/>
    <mergeCell ref="M6:N6"/>
    <mergeCell ref="A7:C7"/>
    <mergeCell ref="D7:E7"/>
    <mergeCell ref="F7:G7"/>
    <mergeCell ref="H7:J7"/>
    <mergeCell ref="K7:L7"/>
    <mergeCell ref="M7:N7"/>
    <mergeCell ref="H5:J5"/>
    <mergeCell ref="A5:C5"/>
    <mergeCell ref="A6:C6"/>
    <mergeCell ref="F6:G6"/>
    <mergeCell ref="H6:J6"/>
    <mergeCell ref="A1:N1"/>
    <mergeCell ref="A3:C3"/>
    <mergeCell ref="H3:J3"/>
    <mergeCell ref="A4:C4"/>
    <mergeCell ref="H4:J4"/>
    <mergeCell ref="A2:N2"/>
  </mergeCells>
  <dataValidations count="1">
    <dataValidation type="list" allowBlank="1" showInputMessage="1" showErrorMessage="1" sqref="G4 G10 G16 N4 N10 N16" xr:uid="{00000000-0002-0000-0800-000000000000}">
      <formula1>LUCE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36972-5D67-46D6-A110-21ECD7852D8D}">
  <sheetPr codeName="Foglio8">
    <pageSetUpPr fitToPage="1"/>
  </sheetPr>
  <dimension ref="A1:S18"/>
  <sheetViews>
    <sheetView showGridLines="0" showRowColHeaders="0" topLeftCell="A67" zoomScaleNormal="100" workbookViewId="0">
      <selection activeCell="E3" sqref="E3"/>
    </sheetView>
  </sheetViews>
  <sheetFormatPr defaultRowHeight="14.4" x14ac:dyDescent="0.3"/>
  <cols>
    <col min="1" max="1" width="7.5546875" customWidth="1"/>
    <col min="2" max="2" width="32.33203125" style="57" customWidth="1"/>
    <col min="3" max="3" width="55" style="57" customWidth="1"/>
    <col min="4" max="4" width="26" style="58" customWidth="1"/>
    <col min="5" max="10" width="5.6640625" style="58" customWidth="1"/>
    <col min="11" max="11" width="27.6640625" style="58" customWidth="1"/>
    <col min="12" max="12" width="34" style="58" customWidth="1"/>
    <col min="13" max="13" width="8.6640625" style="58" customWidth="1"/>
    <col min="14" max="14" width="9.6640625" style="58" customWidth="1"/>
    <col min="15" max="15" width="8.44140625" style="58" customWidth="1"/>
    <col min="20" max="20" width="16.5546875" customWidth="1"/>
    <col min="29" max="29" width="29.88671875" customWidth="1"/>
    <col min="30" max="30" width="29.44140625" customWidth="1"/>
    <col min="31" max="31" width="26.109375" customWidth="1"/>
    <col min="32" max="32" width="31.33203125" customWidth="1"/>
    <col min="33" max="33" width="28.44140625" customWidth="1"/>
    <col min="34" max="34" width="22.109375" customWidth="1"/>
    <col min="257" max="257" width="20.44140625" bestFit="1" customWidth="1"/>
    <col min="258" max="259" width="7.6640625" customWidth="1"/>
    <col min="260" max="260" width="9.6640625" customWidth="1"/>
    <col min="261" max="261" width="8.6640625" customWidth="1"/>
    <col min="262" max="262" width="9.6640625" customWidth="1"/>
    <col min="263" max="263" width="8.6640625" customWidth="1"/>
    <col min="264" max="264" width="9.6640625" customWidth="1"/>
    <col min="265" max="265" width="8.6640625" customWidth="1"/>
    <col min="266" max="266" width="9.6640625" customWidth="1"/>
    <col min="267" max="267" width="8.44140625" customWidth="1"/>
    <col min="513" max="513" width="20.44140625" bestFit="1" customWidth="1"/>
    <col min="514" max="515" width="7.6640625" customWidth="1"/>
    <col min="516" max="516" width="9.6640625" customWidth="1"/>
    <col min="517" max="517" width="8.6640625" customWidth="1"/>
    <col min="518" max="518" width="9.6640625" customWidth="1"/>
    <col min="519" max="519" width="8.6640625" customWidth="1"/>
    <col min="520" max="520" width="9.6640625" customWidth="1"/>
    <col min="521" max="521" width="8.6640625" customWidth="1"/>
    <col min="522" max="522" width="9.6640625" customWidth="1"/>
    <col min="523" max="523" width="8.44140625" customWidth="1"/>
    <col min="769" max="769" width="20.44140625" bestFit="1" customWidth="1"/>
    <col min="770" max="771" width="7.6640625" customWidth="1"/>
    <col min="772" max="772" width="9.6640625" customWidth="1"/>
    <col min="773" max="773" width="8.6640625" customWidth="1"/>
    <col min="774" max="774" width="9.6640625" customWidth="1"/>
    <col min="775" max="775" width="8.6640625" customWidth="1"/>
    <col min="776" max="776" width="9.6640625" customWidth="1"/>
    <col min="777" max="777" width="8.6640625" customWidth="1"/>
    <col min="778" max="778" width="9.6640625" customWidth="1"/>
    <col min="779" max="779" width="8.44140625" customWidth="1"/>
    <col min="1025" max="1025" width="20.44140625" bestFit="1" customWidth="1"/>
    <col min="1026" max="1027" width="7.6640625" customWidth="1"/>
    <col min="1028" max="1028" width="9.6640625" customWidth="1"/>
    <col min="1029" max="1029" width="8.6640625" customWidth="1"/>
    <col min="1030" max="1030" width="9.6640625" customWidth="1"/>
    <col min="1031" max="1031" width="8.6640625" customWidth="1"/>
    <col min="1032" max="1032" width="9.6640625" customWidth="1"/>
    <col min="1033" max="1033" width="8.6640625" customWidth="1"/>
    <col min="1034" max="1034" width="9.6640625" customWidth="1"/>
    <col min="1035" max="1035" width="8.44140625" customWidth="1"/>
    <col min="1281" max="1281" width="20.44140625" bestFit="1" customWidth="1"/>
    <col min="1282" max="1283" width="7.6640625" customWidth="1"/>
    <col min="1284" max="1284" width="9.6640625" customWidth="1"/>
    <col min="1285" max="1285" width="8.6640625" customWidth="1"/>
    <col min="1286" max="1286" width="9.6640625" customWidth="1"/>
    <col min="1287" max="1287" width="8.6640625" customWidth="1"/>
    <col min="1288" max="1288" width="9.6640625" customWidth="1"/>
    <col min="1289" max="1289" width="8.6640625" customWidth="1"/>
    <col min="1290" max="1290" width="9.6640625" customWidth="1"/>
    <col min="1291" max="1291" width="8.44140625" customWidth="1"/>
    <col min="1537" max="1537" width="20.44140625" bestFit="1" customWidth="1"/>
    <col min="1538" max="1539" width="7.6640625" customWidth="1"/>
    <col min="1540" max="1540" width="9.6640625" customWidth="1"/>
    <col min="1541" max="1541" width="8.6640625" customWidth="1"/>
    <col min="1542" max="1542" width="9.6640625" customWidth="1"/>
    <col min="1543" max="1543" width="8.6640625" customWidth="1"/>
    <col min="1544" max="1544" width="9.6640625" customWidth="1"/>
    <col min="1545" max="1545" width="8.6640625" customWidth="1"/>
    <col min="1546" max="1546" width="9.6640625" customWidth="1"/>
    <col min="1547" max="1547" width="8.44140625" customWidth="1"/>
    <col min="1793" max="1793" width="20.44140625" bestFit="1" customWidth="1"/>
    <col min="1794" max="1795" width="7.6640625" customWidth="1"/>
    <col min="1796" max="1796" width="9.6640625" customWidth="1"/>
    <col min="1797" max="1797" width="8.6640625" customWidth="1"/>
    <col min="1798" max="1798" width="9.6640625" customWidth="1"/>
    <col min="1799" max="1799" width="8.6640625" customWidth="1"/>
    <col min="1800" max="1800" width="9.6640625" customWidth="1"/>
    <col min="1801" max="1801" width="8.6640625" customWidth="1"/>
    <col min="1802" max="1802" width="9.6640625" customWidth="1"/>
    <col min="1803" max="1803" width="8.44140625" customWidth="1"/>
    <col min="2049" max="2049" width="20.44140625" bestFit="1" customWidth="1"/>
    <col min="2050" max="2051" width="7.6640625" customWidth="1"/>
    <col min="2052" max="2052" width="9.6640625" customWidth="1"/>
    <col min="2053" max="2053" width="8.6640625" customWidth="1"/>
    <col min="2054" max="2054" width="9.6640625" customWidth="1"/>
    <col min="2055" max="2055" width="8.6640625" customWidth="1"/>
    <col min="2056" max="2056" width="9.6640625" customWidth="1"/>
    <col min="2057" max="2057" width="8.6640625" customWidth="1"/>
    <col min="2058" max="2058" width="9.6640625" customWidth="1"/>
    <col min="2059" max="2059" width="8.44140625" customWidth="1"/>
    <col min="2305" max="2305" width="20.44140625" bestFit="1" customWidth="1"/>
    <col min="2306" max="2307" width="7.6640625" customWidth="1"/>
    <col min="2308" max="2308" width="9.6640625" customWidth="1"/>
    <col min="2309" max="2309" width="8.6640625" customWidth="1"/>
    <col min="2310" max="2310" width="9.6640625" customWidth="1"/>
    <col min="2311" max="2311" width="8.6640625" customWidth="1"/>
    <col min="2312" max="2312" width="9.6640625" customWidth="1"/>
    <col min="2313" max="2313" width="8.6640625" customWidth="1"/>
    <col min="2314" max="2314" width="9.6640625" customWidth="1"/>
    <col min="2315" max="2315" width="8.44140625" customWidth="1"/>
    <col min="2561" max="2561" width="20.44140625" bestFit="1" customWidth="1"/>
    <col min="2562" max="2563" width="7.6640625" customWidth="1"/>
    <col min="2564" max="2564" width="9.6640625" customWidth="1"/>
    <col min="2565" max="2565" width="8.6640625" customWidth="1"/>
    <col min="2566" max="2566" width="9.6640625" customWidth="1"/>
    <col min="2567" max="2567" width="8.6640625" customWidth="1"/>
    <col min="2568" max="2568" width="9.6640625" customWidth="1"/>
    <col min="2569" max="2569" width="8.6640625" customWidth="1"/>
    <col min="2570" max="2570" width="9.6640625" customWidth="1"/>
    <col min="2571" max="2571" width="8.44140625" customWidth="1"/>
    <col min="2817" max="2817" width="20.44140625" bestFit="1" customWidth="1"/>
    <col min="2818" max="2819" width="7.6640625" customWidth="1"/>
    <col min="2820" max="2820" width="9.6640625" customWidth="1"/>
    <col min="2821" max="2821" width="8.6640625" customWidth="1"/>
    <col min="2822" max="2822" width="9.6640625" customWidth="1"/>
    <col min="2823" max="2823" width="8.6640625" customWidth="1"/>
    <col min="2824" max="2824" width="9.6640625" customWidth="1"/>
    <col min="2825" max="2825" width="8.6640625" customWidth="1"/>
    <col min="2826" max="2826" width="9.6640625" customWidth="1"/>
    <col min="2827" max="2827" width="8.44140625" customWidth="1"/>
    <col min="3073" max="3073" width="20.44140625" bestFit="1" customWidth="1"/>
    <col min="3074" max="3075" width="7.6640625" customWidth="1"/>
    <col min="3076" max="3076" width="9.6640625" customWidth="1"/>
    <col min="3077" max="3077" width="8.6640625" customWidth="1"/>
    <col min="3078" max="3078" width="9.6640625" customWidth="1"/>
    <col min="3079" max="3079" width="8.6640625" customWidth="1"/>
    <col min="3080" max="3080" width="9.6640625" customWidth="1"/>
    <col min="3081" max="3081" width="8.6640625" customWidth="1"/>
    <col min="3082" max="3082" width="9.6640625" customWidth="1"/>
    <col min="3083" max="3083" width="8.44140625" customWidth="1"/>
    <col min="3329" max="3329" width="20.44140625" bestFit="1" customWidth="1"/>
    <col min="3330" max="3331" width="7.6640625" customWidth="1"/>
    <col min="3332" max="3332" width="9.6640625" customWidth="1"/>
    <col min="3333" max="3333" width="8.6640625" customWidth="1"/>
    <col min="3334" max="3334" width="9.6640625" customWidth="1"/>
    <col min="3335" max="3335" width="8.6640625" customWidth="1"/>
    <col min="3336" max="3336" width="9.6640625" customWidth="1"/>
    <col min="3337" max="3337" width="8.6640625" customWidth="1"/>
    <col min="3338" max="3338" width="9.6640625" customWidth="1"/>
    <col min="3339" max="3339" width="8.44140625" customWidth="1"/>
    <col min="3585" max="3585" width="20.44140625" bestFit="1" customWidth="1"/>
    <col min="3586" max="3587" width="7.6640625" customWidth="1"/>
    <col min="3588" max="3588" width="9.6640625" customWidth="1"/>
    <col min="3589" max="3589" width="8.6640625" customWidth="1"/>
    <col min="3590" max="3590" width="9.6640625" customWidth="1"/>
    <col min="3591" max="3591" width="8.6640625" customWidth="1"/>
    <col min="3592" max="3592" width="9.6640625" customWidth="1"/>
    <col min="3593" max="3593" width="8.6640625" customWidth="1"/>
    <col min="3594" max="3594" width="9.6640625" customWidth="1"/>
    <col min="3595" max="3595" width="8.44140625" customWidth="1"/>
    <col min="3841" max="3841" width="20.44140625" bestFit="1" customWidth="1"/>
    <col min="3842" max="3843" width="7.6640625" customWidth="1"/>
    <col min="3844" max="3844" width="9.6640625" customWidth="1"/>
    <col min="3845" max="3845" width="8.6640625" customWidth="1"/>
    <col min="3846" max="3846" width="9.6640625" customWidth="1"/>
    <col min="3847" max="3847" width="8.6640625" customWidth="1"/>
    <col min="3848" max="3848" width="9.6640625" customWidth="1"/>
    <col min="3849" max="3849" width="8.6640625" customWidth="1"/>
    <col min="3850" max="3850" width="9.6640625" customWidth="1"/>
    <col min="3851" max="3851" width="8.44140625" customWidth="1"/>
    <col min="4097" max="4097" width="20.44140625" bestFit="1" customWidth="1"/>
    <col min="4098" max="4099" width="7.6640625" customWidth="1"/>
    <col min="4100" max="4100" width="9.6640625" customWidth="1"/>
    <col min="4101" max="4101" width="8.6640625" customWidth="1"/>
    <col min="4102" max="4102" width="9.6640625" customWidth="1"/>
    <col min="4103" max="4103" width="8.6640625" customWidth="1"/>
    <col min="4104" max="4104" width="9.6640625" customWidth="1"/>
    <col min="4105" max="4105" width="8.6640625" customWidth="1"/>
    <col min="4106" max="4106" width="9.6640625" customWidth="1"/>
    <col min="4107" max="4107" width="8.44140625" customWidth="1"/>
    <col min="4353" max="4353" width="20.44140625" bestFit="1" customWidth="1"/>
    <col min="4354" max="4355" width="7.6640625" customWidth="1"/>
    <col min="4356" max="4356" width="9.6640625" customWidth="1"/>
    <col min="4357" max="4357" width="8.6640625" customWidth="1"/>
    <col min="4358" max="4358" width="9.6640625" customWidth="1"/>
    <col min="4359" max="4359" width="8.6640625" customWidth="1"/>
    <col min="4360" max="4360" width="9.6640625" customWidth="1"/>
    <col min="4361" max="4361" width="8.6640625" customWidth="1"/>
    <col min="4362" max="4362" width="9.6640625" customWidth="1"/>
    <col min="4363" max="4363" width="8.44140625" customWidth="1"/>
    <col min="4609" max="4609" width="20.44140625" bestFit="1" customWidth="1"/>
    <col min="4610" max="4611" width="7.6640625" customWidth="1"/>
    <col min="4612" max="4612" width="9.6640625" customWidth="1"/>
    <col min="4613" max="4613" width="8.6640625" customWidth="1"/>
    <col min="4614" max="4614" width="9.6640625" customWidth="1"/>
    <col min="4615" max="4615" width="8.6640625" customWidth="1"/>
    <col min="4616" max="4616" width="9.6640625" customWidth="1"/>
    <col min="4617" max="4617" width="8.6640625" customWidth="1"/>
    <col min="4618" max="4618" width="9.6640625" customWidth="1"/>
    <col min="4619" max="4619" width="8.44140625" customWidth="1"/>
    <col min="4865" max="4865" width="20.44140625" bestFit="1" customWidth="1"/>
    <col min="4866" max="4867" width="7.6640625" customWidth="1"/>
    <col min="4868" max="4868" width="9.6640625" customWidth="1"/>
    <col min="4869" max="4869" width="8.6640625" customWidth="1"/>
    <col min="4870" max="4870" width="9.6640625" customWidth="1"/>
    <col min="4871" max="4871" width="8.6640625" customWidth="1"/>
    <col min="4872" max="4872" width="9.6640625" customWidth="1"/>
    <col min="4873" max="4873" width="8.6640625" customWidth="1"/>
    <col min="4874" max="4874" width="9.6640625" customWidth="1"/>
    <col min="4875" max="4875" width="8.44140625" customWidth="1"/>
    <col min="5121" max="5121" width="20.44140625" bestFit="1" customWidth="1"/>
    <col min="5122" max="5123" width="7.6640625" customWidth="1"/>
    <col min="5124" max="5124" width="9.6640625" customWidth="1"/>
    <col min="5125" max="5125" width="8.6640625" customWidth="1"/>
    <col min="5126" max="5126" width="9.6640625" customWidth="1"/>
    <col min="5127" max="5127" width="8.6640625" customWidth="1"/>
    <col min="5128" max="5128" width="9.6640625" customWidth="1"/>
    <col min="5129" max="5129" width="8.6640625" customWidth="1"/>
    <col min="5130" max="5130" width="9.6640625" customWidth="1"/>
    <col min="5131" max="5131" width="8.44140625" customWidth="1"/>
    <col min="5377" max="5377" width="20.44140625" bestFit="1" customWidth="1"/>
    <col min="5378" max="5379" width="7.6640625" customWidth="1"/>
    <col min="5380" max="5380" width="9.6640625" customWidth="1"/>
    <col min="5381" max="5381" width="8.6640625" customWidth="1"/>
    <col min="5382" max="5382" width="9.6640625" customWidth="1"/>
    <col min="5383" max="5383" width="8.6640625" customWidth="1"/>
    <col min="5384" max="5384" width="9.6640625" customWidth="1"/>
    <col min="5385" max="5385" width="8.6640625" customWidth="1"/>
    <col min="5386" max="5386" width="9.6640625" customWidth="1"/>
    <col min="5387" max="5387" width="8.44140625" customWidth="1"/>
    <col min="5633" max="5633" width="20.44140625" bestFit="1" customWidth="1"/>
    <col min="5634" max="5635" width="7.6640625" customWidth="1"/>
    <col min="5636" max="5636" width="9.6640625" customWidth="1"/>
    <col min="5637" max="5637" width="8.6640625" customWidth="1"/>
    <col min="5638" max="5638" width="9.6640625" customWidth="1"/>
    <col min="5639" max="5639" width="8.6640625" customWidth="1"/>
    <col min="5640" max="5640" width="9.6640625" customWidth="1"/>
    <col min="5641" max="5641" width="8.6640625" customWidth="1"/>
    <col min="5642" max="5642" width="9.6640625" customWidth="1"/>
    <col min="5643" max="5643" width="8.44140625" customWidth="1"/>
    <col min="5889" max="5889" width="20.44140625" bestFit="1" customWidth="1"/>
    <col min="5890" max="5891" width="7.6640625" customWidth="1"/>
    <col min="5892" max="5892" width="9.6640625" customWidth="1"/>
    <col min="5893" max="5893" width="8.6640625" customWidth="1"/>
    <col min="5894" max="5894" width="9.6640625" customWidth="1"/>
    <col min="5895" max="5895" width="8.6640625" customWidth="1"/>
    <col min="5896" max="5896" width="9.6640625" customWidth="1"/>
    <col min="5897" max="5897" width="8.6640625" customWidth="1"/>
    <col min="5898" max="5898" width="9.6640625" customWidth="1"/>
    <col min="5899" max="5899" width="8.44140625" customWidth="1"/>
    <col min="6145" max="6145" width="20.44140625" bestFit="1" customWidth="1"/>
    <col min="6146" max="6147" width="7.6640625" customWidth="1"/>
    <col min="6148" max="6148" width="9.6640625" customWidth="1"/>
    <col min="6149" max="6149" width="8.6640625" customWidth="1"/>
    <col min="6150" max="6150" width="9.6640625" customWidth="1"/>
    <col min="6151" max="6151" width="8.6640625" customWidth="1"/>
    <col min="6152" max="6152" width="9.6640625" customWidth="1"/>
    <col min="6153" max="6153" width="8.6640625" customWidth="1"/>
    <col min="6154" max="6154" width="9.6640625" customWidth="1"/>
    <col min="6155" max="6155" width="8.44140625" customWidth="1"/>
    <col min="6401" max="6401" width="20.44140625" bestFit="1" customWidth="1"/>
    <col min="6402" max="6403" width="7.6640625" customWidth="1"/>
    <col min="6404" max="6404" width="9.6640625" customWidth="1"/>
    <col min="6405" max="6405" width="8.6640625" customWidth="1"/>
    <col min="6406" max="6406" width="9.6640625" customWidth="1"/>
    <col min="6407" max="6407" width="8.6640625" customWidth="1"/>
    <col min="6408" max="6408" width="9.6640625" customWidth="1"/>
    <col min="6409" max="6409" width="8.6640625" customWidth="1"/>
    <col min="6410" max="6410" width="9.6640625" customWidth="1"/>
    <col min="6411" max="6411" width="8.44140625" customWidth="1"/>
    <col min="6657" max="6657" width="20.44140625" bestFit="1" customWidth="1"/>
    <col min="6658" max="6659" width="7.6640625" customWidth="1"/>
    <col min="6660" max="6660" width="9.6640625" customWidth="1"/>
    <col min="6661" max="6661" width="8.6640625" customWidth="1"/>
    <col min="6662" max="6662" width="9.6640625" customWidth="1"/>
    <col min="6663" max="6663" width="8.6640625" customWidth="1"/>
    <col min="6664" max="6664" width="9.6640625" customWidth="1"/>
    <col min="6665" max="6665" width="8.6640625" customWidth="1"/>
    <col min="6666" max="6666" width="9.6640625" customWidth="1"/>
    <col min="6667" max="6667" width="8.44140625" customWidth="1"/>
    <col min="6913" max="6913" width="20.44140625" bestFit="1" customWidth="1"/>
    <col min="6914" max="6915" width="7.6640625" customWidth="1"/>
    <col min="6916" max="6916" width="9.6640625" customWidth="1"/>
    <col min="6917" max="6917" width="8.6640625" customWidth="1"/>
    <col min="6918" max="6918" width="9.6640625" customWidth="1"/>
    <col min="6919" max="6919" width="8.6640625" customWidth="1"/>
    <col min="6920" max="6920" width="9.6640625" customWidth="1"/>
    <col min="6921" max="6921" width="8.6640625" customWidth="1"/>
    <col min="6922" max="6922" width="9.6640625" customWidth="1"/>
    <col min="6923" max="6923" width="8.44140625" customWidth="1"/>
    <col min="7169" max="7169" width="20.44140625" bestFit="1" customWidth="1"/>
    <col min="7170" max="7171" width="7.6640625" customWidth="1"/>
    <col min="7172" max="7172" width="9.6640625" customWidth="1"/>
    <col min="7173" max="7173" width="8.6640625" customWidth="1"/>
    <col min="7174" max="7174" width="9.6640625" customWidth="1"/>
    <col min="7175" max="7175" width="8.6640625" customWidth="1"/>
    <col min="7176" max="7176" width="9.6640625" customWidth="1"/>
    <col min="7177" max="7177" width="8.6640625" customWidth="1"/>
    <col min="7178" max="7178" width="9.6640625" customWidth="1"/>
    <col min="7179" max="7179" width="8.44140625" customWidth="1"/>
    <col min="7425" max="7425" width="20.44140625" bestFit="1" customWidth="1"/>
    <col min="7426" max="7427" width="7.6640625" customWidth="1"/>
    <col min="7428" max="7428" width="9.6640625" customWidth="1"/>
    <col min="7429" max="7429" width="8.6640625" customWidth="1"/>
    <col min="7430" max="7430" width="9.6640625" customWidth="1"/>
    <col min="7431" max="7431" width="8.6640625" customWidth="1"/>
    <col min="7432" max="7432" width="9.6640625" customWidth="1"/>
    <col min="7433" max="7433" width="8.6640625" customWidth="1"/>
    <col min="7434" max="7434" width="9.6640625" customWidth="1"/>
    <col min="7435" max="7435" width="8.44140625" customWidth="1"/>
    <col min="7681" max="7681" width="20.44140625" bestFit="1" customWidth="1"/>
    <col min="7682" max="7683" width="7.6640625" customWidth="1"/>
    <col min="7684" max="7684" width="9.6640625" customWidth="1"/>
    <col min="7685" max="7685" width="8.6640625" customWidth="1"/>
    <col min="7686" max="7686" width="9.6640625" customWidth="1"/>
    <col min="7687" max="7687" width="8.6640625" customWidth="1"/>
    <col min="7688" max="7688" width="9.6640625" customWidth="1"/>
    <col min="7689" max="7689" width="8.6640625" customWidth="1"/>
    <col min="7690" max="7690" width="9.6640625" customWidth="1"/>
    <col min="7691" max="7691" width="8.44140625" customWidth="1"/>
    <col min="7937" max="7937" width="20.44140625" bestFit="1" customWidth="1"/>
    <col min="7938" max="7939" width="7.6640625" customWidth="1"/>
    <col min="7940" max="7940" width="9.6640625" customWidth="1"/>
    <col min="7941" max="7941" width="8.6640625" customWidth="1"/>
    <col min="7942" max="7942" width="9.6640625" customWidth="1"/>
    <col min="7943" max="7943" width="8.6640625" customWidth="1"/>
    <col min="7944" max="7944" width="9.6640625" customWidth="1"/>
    <col min="7945" max="7945" width="8.6640625" customWidth="1"/>
    <col min="7946" max="7946" width="9.6640625" customWidth="1"/>
    <col min="7947" max="7947" width="8.44140625" customWidth="1"/>
    <col min="8193" max="8193" width="20.44140625" bestFit="1" customWidth="1"/>
    <col min="8194" max="8195" width="7.6640625" customWidth="1"/>
    <col min="8196" max="8196" width="9.6640625" customWidth="1"/>
    <col min="8197" max="8197" width="8.6640625" customWidth="1"/>
    <col min="8198" max="8198" width="9.6640625" customWidth="1"/>
    <col min="8199" max="8199" width="8.6640625" customWidth="1"/>
    <col min="8200" max="8200" width="9.6640625" customWidth="1"/>
    <col min="8201" max="8201" width="8.6640625" customWidth="1"/>
    <col min="8202" max="8202" width="9.6640625" customWidth="1"/>
    <col min="8203" max="8203" width="8.44140625" customWidth="1"/>
    <col min="8449" max="8449" width="20.44140625" bestFit="1" customWidth="1"/>
    <col min="8450" max="8451" width="7.6640625" customWidth="1"/>
    <col min="8452" max="8452" width="9.6640625" customWidth="1"/>
    <col min="8453" max="8453" width="8.6640625" customWidth="1"/>
    <col min="8454" max="8454" width="9.6640625" customWidth="1"/>
    <col min="8455" max="8455" width="8.6640625" customWidth="1"/>
    <col min="8456" max="8456" width="9.6640625" customWidth="1"/>
    <col min="8457" max="8457" width="8.6640625" customWidth="1"/>
    <col min="8458" max="8458" width="9.6640625" customWidth="1"/>
    <col min="8459" max="8459" width="8.44140625" customWidth="1"/>
    <col min="8705" max="8705" width="20.44140625" bestFit="1" customWidth="1"/>
    <col min="8706" max="8707" width="7.6640625" customWidth="1"/>
    <col min="8708" max="8708" width="9.6640625" customWidth="1"/>
    <col min="8709" max="8709" width="8.6640625" customWidth="1"/>
    <col min="8710" max="8710" width="9.6640625" customWidth="1"/>
    <col min="8711" max="8711" width="8.6640625" customWidth="1"/>
    <col min="8712" max="8712" width="9.6640625" customWidth="1"/>
    <col min="8713" max="8713" width="8.6640625" customWidth="1"/>
    <col min="8714" max="8714" width="9.6640625" customWidth="1"/>
    <col min="8715" max="8715" width="8.44140625" customWidth="1"/>
    <col min="8961" max="8961" width="20.44140625" bestFit="1" customWidth="1"/>
    <col min="8962" max="8963" width="7.6640625" customWidth="1"/>
    <col min="8964" max="8964" width="9.6640625" customWidth="1"/>
    <col min="8965" max="8965" width="8.6640625" customWidth="1"/>
    <col min="8966" max="8966" width="9.6640625" customWidth="1"/>
    <col min="8967" max="8967" width="8.6640625" customWidth="1"/>
    <col min="8968" max="8968" width="9.6640625" customWidth="1"/>
    <col min="8969" max="8969" width="8.6640625" customWidth="1"/>
    <col min="8970" max="8970" width="9.6640625" customWidth="1"/>
    <col min="8971" max="8971" width="8.44140625" customWidth="1"/>
    <col min="9217" max="9217" width="20.44140625" bestFit="1" customWidth="1"/>
    <col min="9218" max="9219" width="7.6640625" customWidth="1"/>
    <col min="9220" max="9220" width="9.6640625" customWidth="1"/>
    <col min="9221" max="9221" width="8.6640625" customWidth="1"/>
    <col min="9222" max="9222" width="9.6640625" customWidth="1"/>
    <col min="9223" max="9223" width="8.6640625" customWidth="1"/>
    <col min="9224" max="9224" width="9.6640625" customWidth="1"/>
    <col min="9225" max="9225" width="8.6640625" customWidth="1"/>
    <col min="9226" max="9226" width="9.6640625" customWidth="1"/>
    <col min="9227" max="9227" width="8.44140625" customWidth="1"/>
    <col min="9473" max="9473" width="20.44140625" bestFit="1" customWidth="1"/>
    <col min="9474" max="9475" width="7.6640625" customWidth="1"/>
    <col min="9476" max="9476" width="9.6640625" customWidth="1"/>
    <col min="9477" max="9477" width="8.6640625" customWidth="1"/>
    <col min="9478" max="9478" width="9.6640625" customWidth="1"/>
    <col min="9479" max="9479" width="8.6640625" customWidth="1"/>
    <col min="9480" max="9480" width="9.6640625" customWidth="1"/>
    <col min="9481" max="9481" width="8.6640625" customWidth="1"/>
    <col min="9482" max="9482" width="9.6640625" customWidth="1"/>
    <col min="9483" max="9483" width="8.44140625" customWidth="1"/>
    <col min="9729" max="9729" width="20.44140625" bestFit="1" customWidth="1"/>
    <col min="9730" max="9731" width="7.6640625" customWidth="1"/>
    <col min="9732" max="9732" width="9.6640625" customWidth="1"/>
    <col min="9733" max="9733" width="8.6640625" customWidth="1"/>
    <col min="9734" max="9734" width="9.6640625" customWidth="1"/>
    <col min="9735" max="9735" width="8.6640625" customWidth="1"/>
    <col min="9736" max="9736" width="9.6640625" customWidth="1"/>
    <col min="9737" max="9737" width="8.6640625" customWidth="1"/>
    <col min="9738" max="9738" width="9.6640625" customWidth="1"/>
    <col min="9739" max="9739" width="8.44140625" customWidth="1"/>
    <col min="9985" max="9985" width="20.44140625" bestFit="1" customWidth="1"/>
    <col min="9986" max="9987" width="7.6640625" customWidth="1"/>
    <col min="9988" max="9988" width="9.6640625" customWidth="1"/>
    <col min="9989" max="9989" width="8.6640625" customWidth="1"/>
    <col min="9990" max="9990" width="9.6640625" customWidth="1"/>
    <col min="9991" max="9991" width="8.6640625" customWidth="1"/>
    <col min="9992" max="9992" width="9.6640625" customWidth="1"/>
    <col min="9993" max="9993" width="8.6640625" customWidth="1"/>
    <col min="9994" max="9994" width="9.6640625" customWidth="1"/>
    <col min="9995" max="9995" width="8.44140625" customWidth="1"/>
    <col min="10241" max="10241" width="20.44140625" bestFit="1" customWidth="1"/>
    <col min="10242" max="10243" width="7.6640625" customWidth="1"/>
    <col min="10244" max="10244" width="9.6640625" customWidth="1"/>
    <col min="10245" max="10245" width="8.6640625" customWidth="1"/>
    <col min="10246" max="10246" width="9.6640625" customWidth="1"/>
    <col min="10247" max="10247" width="8.6640625" customWidth="1"/>
    <col min="10248" max="10248" width="9.6640625" customWidth="1"/>
    <col min="10249" max="10249" width="8.6640625" customWidth="1"/>
    <col min="10250" max="10250" width="9.6640625" customWidth="1"/>
    <col min="10251" max="10251" width="8.44140625" customWidth="1"/>
    <col min="10497" max="10497" width="20.44140625" bestFit="1" customWidth="1"/>
    <col min="10498" max="10499" width="7.6640625" customWidth="1"/>
    <col min="10500" max="10500" width="9.6640625" customWidth="1"/>
    <col min="10501" max="10501" width="8.6640625" customWidth="1"/>
    <col min="10502" max="10502" width="9.6640625" customWidth="1"/>
    <col min="10503" max="10503" width="8.6640625" customWidth="1"/>
    <col min="10504" max="10504" width="9.6640625" customWidth="1"/>
    <col min="10505" max="10505" width="8.6640625" customWidth="1"/>
    <col min="10506" max="10506" width="9.6640625" customWidth="1"/>
    <col min="10507" max="10507" width="8.44140625" customWidth="1"/>
    <col min="10753" max="10753" width="20.44140625" bestFit="1" customWidth="1"/>
    <col min="10754" max="10755" width="7.6640625" customWidth="1"/>
    <col min="10756" max="10756" width="9.6640625" customWidth="1"/>
    <col min="10757" max="10757" width="8.6640625" customWidth="1"/>
    <col min="10758" max="10758" width="9.6640625" customWidth="1"/>
    <col min="10759" max="10759" width="8.6640625" customWidth="1"/>
    <col min="10760" max="10760" width="9.6640625" customWidth="1"/>
    <col min="10761" max="10761" width="8.6640625" customWidth="1"/>
    <col min="10762" max="10762" width="9.6640625" customWidth="1"/>
    <col min="10763" max="10763" width="8.44140625" customWidth="1"/>
    <col min="11009" max="11009" width="20.44140625" bestFit="1" customWidth="1"/>
    <col min="11010" max="11011" width="7.6640625" customWidth="1"/>
    <col min="11012" max="11012" width="9.6640625" customWidth="1"/>
    <col min="11013" max="11013" width="8.6640625" customWidth="1"/>
    <col min="11014" max="11014" width="9.6640625" customWidth="1"/>
    <col min="11015" max="11015" width="8.6640625" customWidth="1"/>
    <col min="11016" max="11016" width="9.6640625" customWidth="1"/>
    <col min="11017" max="11017" width="8.6640625" customWidth="1"/>
    <col min="11018" max="11018" width="9.6640625" customWidth="1"/>
    <col min="11019" max="11019" width="8.44140625" customWidth="1"/>
    <col min="11265" max="11265" width="20.44140625" bestFit="1" customWidth="1"/>
    <col min="11266" max="11267" width="7.6640625" customWidth="1"/>
    <col min="11268" max="11268" width="9.6640625" customWidth="1"/>
    <col min="11269" max="11269" width="8.6640625" customWidth="1"/>
    <col min="11270" max="11270" width="9.6640625" customWidth="1"/>
    <col min="11271" max="11271" width="8.6640625" customWidth="1"/>
    <col min="11272" max="11272" width="9.6640625" customWidth="1"/>
    <col min="11273" max="11273" width="8.6640625" customWidth="1"/>
    <col min="11274" max="11274" width="9.6640625" customWidth="1"/>
    <col min="11275" max="11275" width="8.44140625" customWidth="1"/>
    <col min="11521" max="11521" width="20.44140625" bestFit="1" customWidth="1"/>
    <col min="11522" max="11523" width="7.6640625" customWidth="1"/>
    <col min="11524" max="11524" width="9.6640625" customWidth="1"/>
    <col min="11525" max="11525" width="8.6640625" customWidth="1"/>
    <col min="11526" max="11526" width="9.6640625" customWidth="1"/>
    <col min="11527" max="11527" width="8.6640625" customWidth="1"/>
    <col min="11528" max="11528" width="9.6640625" customWidth="1"/>
    <col min="11529" max="11529" width="8.6640625" customWidth="1"/>
    <col min="11530" max="11530" width="9.6640625" customWidth="1"/>
    <col min="11531" max="11531" width="8.44140625" customWidth="1"/>
    <col min="11777" max="11777" width="20.44140625" bestFit="1" customWidth="1"/>
    <col min="11778" max="11779" width="7.6640625" customWidth="1"/>
    <col min="11780" max="11780" width="9.6640625" customWidth="1"/>
    <col min="11781" max="11781" width="8.6640625" customWidth="1"/>
    <col min="11782" max="11782" width="9.6640625" customWidth="1"/>
    <col min="11783" max="11783" width="8.6640625" customWidth="1"/>
    <col min="11784" max="11784" width="9.6640625" customWidth="1"/>
    <col min="11785" max="11785" width="8.6640625" customWidth="1"/>
    <col min="11786" max="11786" width="9.6640625" customWidth="1"/>
    <col min="11787" max="11787" width="8.44140625" customWidth="1"/>
    <col min="12033" max="12033" width="20.44140625" bestFit="1" customWidth="1"/>
    <col min="12034" max="12035" width="7.6640625" customWidth="1"/>
    <col min="12036" max="12036" width="9.6640625" customWidth="1"/>
    <col min="12037" max="12037" width="8.6640625" customWidth="1"/>
    <col min="12038" max="12038" width="9.6640625" customWidth="1"/>
    <col min="12039" max="12039" width="8.6640625" customWidth="1"/>
    <col min="12040" max="12040" width="9.6640625" customWidth="1"/>
    <col min="12041" max="12041" width="8.6640625" customWidth="1"/>
    <col min="12042" max="12042" width="9.6640625" customWidth="1"/>
    <col min="12043" max="12043" width="8.44140625" customWidth="1"/>
    <col min="12289" max="12289" width="20.44140625" bestFit="1" customWidth="1"/>
    <col min="12290" max="12291" width="7.6640625" customWidth="1"/>
    <col min="12292" max="12292" width="9.6640625" customWidth="1"/>
    <col min="12293" max="12293" width="8.6640625" customWidth="1"/>
    <col min="12294" max="12294" width="9.6640625" customWidth="1"/>
    <col min="12295" max="12295" width="8.6640625" customWidth="1"/>
    <col min="12296" max="12296" width="9.6640625" customWidth="1"/>
    <col min="12297" max="12297" width="8.6640625" customWidth="1"/>
    <col min="12298" max="12298" width="9.6640625" customWidth="1"/>
    <col min="12299" max="12299" width="8.44140625" customWidth="1"/>
    <col min="12545" max="12545" width="20.44140625" bestFit="1" customWidth="1"/>
    <col min="12546" max="12547" width="7.6640625" customWidth="1"/>
    <col min="12548" max="12548" width="9.6640625" customWidth="1"/>
    <col min="12549" max="12549" width="8.6640625" customWidth="1"/>
    <col min="12550" max="12550" width="9.6640625" customWidth="1"/>
    <col min="12551" max="12551" width="8.6640625" customWidth="1"/>
    <col min="12552" max="12552" width="9.6640625" customWidth="1"/>
    <col min="12553" max="12553" width="8.6640625" customWidth="1"/>
    <col min="12554" max="12554" width="9.6640625" customWidth="1"/>
    <col min="12555" max="12555" width="8.44140625" customWidth="1"/>
    <col min="12801" max="12801" width="20.44140625" bestFit="1" customWidth="1"/>
    <col min="12802" max="12803" width="7.6640625" customWidth="1"/>
    <col min="12804" max="12804" width="9.6640625" customWidth="1"/>
    <col min="12805" max="12805" width="8.6640625" customWidth="1"/>
    <col min="12806" max="12806" width="9.6640625" customWidth="1"/>
    <col min="12807" max="12807" width="8.6640625" customWidth="1"/>
    <col min="12808" max="12808" width="9.6640625" customWidth="1"/>
    <col min="12809" max="12809" width="8.6640625" customWidth="1"/>
    <col min="12810" max="12810" width="9.6640625" customWidth="1"/>
    <col min="12811" max="12811" width="8.44140625" customWidth="1"/>
    <col min="13057" max="13057" width="20.44140625" bestFit="1" customWidth="1"/>
    <col min="13058" max="13059" width="7.6640625" customWidth="1"/>
    <col min="13060" max="13060" width="9.6640625" customWidth="1"/>
    <col min="13061" max="13061" width="8.6640625" customWidth="1"/>
    <col min="13062" max="13062" width="9.6640625" customWidth="1"/>
    <col min="13063" max="13063" width="8.6640625" customWidth="1"/>
    <col min="13064" max="13064" width="9.6640625" customWidth="1"/>
    <col min="13065" max="13065" width="8.6640625" customWidth="1"/>
    <col min="13066" max="13066" width="9.6640625" customWidth="1"/>
    <col min="13067" max="13067" width="8.44140625" customWidth="1"/>
    <col min="13313" max="13313" width="20.44140625" bestFit="1" customWidth="1"/>
    <col min="13314" max="13315" width="7.6640625" customWidth="1"/>
    <col min="13316" max="13316" width="9.6640625" customWidth="1"/>
    <col min="13317" max="13317" width="8.6640625" customWidth="1"/>
    <col min="13318" max="13318" width="9.6640625" customWidth="1"/>
    <col min="13319" max="13319" width="8.6640625" customWidth="1"/>
    <col min="13320" max="13320" width="9.6640625" customWidth="1"/>
    <col min="13321" max="13321" width="8.6640625" customWidth="1"/>
    <col min="13322" max="13322" width="9.6640625" customWidth="1"/>
    <col min="13323" max="13323" width="8.44140625" customWidth="1"/>
    <col min="13569" max="13569" width="20.44140625" bestFit="1" customWidth="1"/>
    <col min="13570" max="13571" width="7.6640625" customWidth="1"/>
    <col min="13572" max="13572" width="9.6640625" customWidth="1"/>
    <col min="13573" max="13573" width="8.6640625" customWidth="1"/>
    <col min="13574" max="13574" width="9.6640625" customWidth="1"/>
    <col min="13575" max="13575" width="8.6640625" customWidth="1"/>
    <col min="13576" max="13576" width="9.6640625" customWidth="1"/>
    <col min="13577" max="13577" width="8.6640625" customWidth="1"/>
    <col min="13578" max="13578" width="9.6640625" customWidth="1"/>
    <col min="13579" max="13579" width="8.44140625" customWidth="1"/>
    <col min="13825" max="13825" width="20.44140625" bestFit="1" customWidth="1"/>
    <col min="13826" max="13827" width="7.6640625" customWidth="1"/>
    <col min="13828" max="13828" width="9.6640625" customWidth="1"/>
    <col min="13829" max="13829" width="8.6640625" customWidth="1"/>
    <col min="13830" max="13830" width="9.6640625" customWidth="1"/>
    <col min="13831" max="13831" width="8.6640625" customWidth="1"/>
    <col min="13832" max="13832" width="9.6640625" customWidth="1"/>
    <col min="13833" max="13833" width="8.6640625" customWidth="1"/>
    <col min="13834" max="13834" width="9.6640625" customWidth="1"/>
    <col min="13835" max="13835" width="8.44140625" customWidth="1"/>
    <col min="14081" max="14081" width="20.44140625" bestFit="1" customWidth="1"/>
    <col min="14082" max="14083" width="7.6640625" customWidth="1"/>
    <col min="14084" max="14084" width="9.6640625" customWidth="1"/>
    <col min="14085" max="14085" width="8.6640625" customWidth="1"/>
    <col min="14086" max="14086" width="9.6640625" customWidth="1"/>
    <col min="14087" max="14087" width="8.6640625" customWidth="1"/>
    <col min="14088" max="14088" width="9.6640625" customWidth="1"/>
    <col min="14089" max="14089" width="8.6640625" customWidth="1"/>
    <col min="14090" max="14090" width="9.6640625" customWidth="1"/>
    <col min="14091" max="14091" width="8.44140625" customWidth="1"/>
    <col min="14337" max="14337" width="20.44140625" bestFit="1" customWidth="1"/>
    <col min="14338" max="14339" width="7.6640625" customWidth="1"/>
    <col min="14340" max="14340" width="9.6640625" customWidth="1"/>
    <col min="14341" max="14341" width="8.6640625" customWidth="1"/>
    <col min="14342" max="14342" width="9.6640625" customWidth="1"/>
    <col min="14343" max="14343" width="8.6640625" customWidth="1"/>
    <col min="14344" max="14344" width="9.6640625" customWidth="1"/>
    <col min="14345" max="14345" width="8.6640625" customWidth="1"/>
    <col min="14346" max="14346" width="9.6640625" customWidth="1"/>
    <col min="14347" max="14347" width="8.44140625" customWidth="1"/>
    <col min="14593" max="14593" width="20.44140625" bestFit="1" customWidth="1"/>
    <col min="14594" max="14595" width="7.6640625" customWidth="1"/>
    <col min="14596" max="14596" width="9.6640625" customWidth="1"/>
    <col min="14597" max="14597" width="8.6640625" customWidth="1"/>
    <col min="14598" max="14598" width="9.6640625" customWidth="1"/>
    <col min="14599" max="14599" width="8.6640625" customWidth="1"/>
    <col min="14600" max="14600" width="9.6640625" customWidth="1"/>
    <col min="14601" max="14601" width="8.6640625" customWidth="1"/>
    <col min="14602" max="14602" width="9.6640625" customWidth="1"/>
    <col min="14603" max="14603" width="8.44140625" customWidth="1"/>
    <col min="14849" max="14849" width="20.44140625" bestFit="1" customWidth="1"/>
    <col min="14850" max="14851" width="7.6640625" customWidth="1"/>
    <col min="14852" max="14852" width="9.6640625" customWidth="1"/>
    <col min="14853" max="14853" width="8.6640625" customWidth="1"/>
    <col min="14854" max="14854" width="9.6640625" customWidth="1"/>
    <col min="14855" max="14855" width="8.6640625" customWidth="1"/>
    <col min="14856" max="14856" width="9.6640625" customWidth="1"/>
    <col min="14857" max="14857" width="8.6640625" customWidth="1"/>
    <col min="14858" max="14858" width="9.6640625" customWidth="1"/>
    <col min="14859" max="14859" width="8.44140625" customWidth="1"/>
    <col min="15105" max="15105" width="20.44140625" bestFit="1" customWidth="1"/>
    <col min="15106" max="15107" width="7.6640625" customWidth="1"/>
    <col min="15108" max="15108" width="9.6640625" customWidth="1"/>
    <col min="15109" max="15109" width="8.6640625" customWidth="1"/>
    <col min="15110" max="15110" width="9.6640625" customWidth="1"/>
    <col min="15111" max="15111" width="8.6640625" customWidth="1"/>
    <col min="15112" max="15112" width="9.6640625" customWidth="1"/>
    <col min="15113" max="15113" width="8.6640625" customWidth="1"/>
    <col min="15114" max="15114" width="9.6640625" customWidth="1"/>
    <col min="15115" max="15115" width="8.44140625" customWidth="1"/>
    <col min="15361" max="15361" width="20.44140625" bestFit="1" customWidth="1"/>
    <col min="15362" max="15363" width="7.6640625" customWidth="1"/>
    <col min="15364" max="15364" width="9.6640625" customWidth="1"/>
    <col min="15365" max="15365" width="8.6640625" customWidth="1"/>
    <col min="15366" max="15366" width="9.6640625" customWidth="1"/>
    <col min="15367" max="15367" width="8.6640625" customWidth="1"/>
    <col min="15368" max="15368" width="9.6640625" customWidth="1"/>
    <col min="15369" max="15369" width="8.6640625" customWidth="1"/>
    <col min="15370" max="15370" width="9.6640625" customWidth="1"/>
    <col min="15371" max="15371" width="8.44140625" customWidth="1"/>
    <col min="15617" max="15617" width="20.44140625" bestFit="1" customWidth="1"/>
    <col min="15618" max="15619" width="7.6640625" customWidth="1"/>
    <col min="15620" max="15620" width="9.6640625" customWidth="1"/>
    <col min="15621" max="15621" width="8.6640625" customWidth="1"/>
    <col min="15622" max="15622" width="9.6640625" customWidth="1"/>
    <col min="15623" max="15623" width="8.6640625" customWidth="1"/>
    <col min="15624" max="15624" width="9.6640625" customWidth="1"/>
    <col min="15625" max="15625" width="8.6640625" customWidth="1"/>
    <col min="15626" max="15626" width="9.6640625" customWidth="1"/>
    <col min="15627" max="15627" width="8.44140625" customWidth="1"/>
    <col min="15873" max="15873" width="20.44140625" bestFit="1" customWidth="1"/>
    <col min="15874" max="15875" width="7.6640625" customWidth="1"/>
    <col min="15876" max="15876" width="9.6640625" customWidth="1"/>
    <col min="15877" max="15877" width="8.6640625" customWidth="1"/>
    <col min="15878" max="15878" width="9.6640625" customWidth="1"/>
    <col min="15879" max="15879" width="8.6640625" customWidth="1"/>
    <col min="15880" max="15880" width="9.6640625" customWidth="1"/>
    <col min="15881" max="15881" width="8.6640625" customWidth="1"/>
    <col min="15882" max="15882" width="9.6640625" customWidth="1"/>
    <col min="15883" max="15883" width="8.44140625" customWidth="1"/>
    <col min="16129" max="16129" width="20.44140625" bestFit="1" customWidth="1"/>
    <col min="16130" max="16131" width="7.6640625" customWidth="1"/>
    <col min="16132" max="16132" width="9.6640625" customWidth="1"/>
    <col min="16133" max="16133" width="8.6640625" customWidth="1"/>
    <col min="16134" max="16134" width="9.6640625" customWidth="1"/>
    <col min="16135" max="16135" width="8.6640625" customWidth="1"/>
    <col min="16136" max="16136" width="9.6640625" customWidth="1"/>
    <col min="16137" max="16137" width="8.6640625" customWidth="1"/>
    <col min="16138" max="16138" width="9.6640625" customWidth="1"/>
    <col min="16139" max="16139" width="8.44140625" customWidth="1"/>
  </cols>
  <sheetData>
    <row r="1" spans="1:19" x14ac:dyDescent="0.3">
      <c r="B1" s="65" t="s">
        <v>175</v>
      </c>
    </row>
    <row r="2" spans="1:19" ht="200.1" customHeight="1" x14ac:dyDescent="0.3">
      <c r="A2" s="81"/>
      <c r="B2" s="65" t="s">
        <v>148</v>
      </c>
      <c r="C2" s="45"/>
      <c r="D2" s="45"/>
      <c r="E2" s="45"/>
      <c r="F2" s="45"/>
      <c r="G2" s="45"/>
      <c r="H2" s="45"/>
      <c r="I2" s="45"/>
      <c r="J2" s="81"/>
      <c r="K2" s="65" t="s">
        <v>156</v>
      </c>
      <c r="L2" s="70"/>
      <c r="M2" s="70"/>
      <c r="N2" s="70"/>
      <c r="O2" s="70"/>
      <c r="P2" s="70"/>
      <c r="Q2" s="70"/>
      <c r="S2">
        <v>2</v>
      </c>
    </row>
    <row r="3" spans="1:19" ht="200.1" customHeight="1" x14ac:dyDescent="0.3">
      <c r="A3" s="81"/>
      <c r="B3" s="65" t="s">
        <v>114</v>
      </c>
      <c r="C3" s="45"/>
      <c r="D3" s="45"/>
      <c r="E3" s="45"/>
      <c r="F3" s="45"/>
      <c r="G3" s="45"/>
      <c r="H3" s="45"/>
      <c r="I3" s="45"/>
      <c r="J3" s="81"/>
      <c r="K3" s="65" t="s">
        <v>106</v>
      </c>
      <c r="L3" s="70"/>
      <c r="M3" s="70"/>
      <c r="N3" s="70"/>
      <c r="O3" s="70"/>
      <c r="P3" s="70"/>
      <c r="Q3" s="70"/>
      <c r="S3">
        <v>2</v>
      </c>
    </row>
    <row r="4" spans="1:19" ht="150" customHeight="1" x14ac:dyDescent="0.3">
      <c r="A4" s="81"/>
      <c r="B4" s="65" t="s">
        <v>80</v>
      </c>
      <c r="C4" s="70"/>
      <c r="D4" s="70"/>
      <c r="E4" s="70"/>
      <c r="F4" s="70"/>
      <c r="G4" s="70"/>
      <c r="H4" s="70"/>
      <c r="I4" s="70"/>
      <c r="J4" s="70"/>
      <c r="K4" s="84" t="s">
        <v>127</v>
      </c>
      <c r="L4" s="70"/>
      <c r="M4" s="70"/>
      <c r="N4" s="70"/>
      <c r="O4" s="70"/>
      <c r="P4" s="70"/>
      <c r="Q4" s="70"/>
      <c r="S4">
        <v>1</v>
      </c>
    </row>
    <row r="5" spans="1:19" ht="181.5" customHeight="1" x14ac:dyDescent="0.3">
      <c r="A5" s="81"/>
      <c r="B5" s="65" t="s">
        <v>145</v>
      </c>
      <c r="C5" s="70"/>
      <c r="D5" s="70"/>
      <c r="E5" s="70"/>
      <c r="F5" s="70"/>
      <c r="G5" s="70"/>
      <c r="H5" s="70"/>
      <c r="I5" s="70"/>
      <c r="J5" s="81"/>
      <c r="K5" s="65"/>
      <c r="L5" s="70"/>
      <c r="M5" s="70"/>
      <c r="N5" s="70"/>
      <c r="O5" s="70"/>
      <c r="P5" s="70"/>
      <c r="Q5" s="70"/>
      <c r="S5">
        <v>1</v>
      </c>
    </row>
    <row r="6" spans="1:19" ht="300" customHeight="1" x14ac:dyDescent="0.3">
      <c r="A6" s="81"/>
      <c r="B6" s="65" t="s">
        <v>71</v>
      </c>
      <c r="C6" s="45"/>
      <c r="D6" s="45"/>
      <c r="E6" s="45"/>
      <c r="F6" s="45"/>
      <c r="G6" s="45"/>
      <c r="H6" s="45"/>
      <c r="I6" s="45"/>
      <c r="J6" s="81"/>
      <c r="K6" s="65" t="s">
        <v>129</v>
      </c>
      <c r="L6" s="70"/>
      <c r="M6" s="70"/>
      <c r="N6" s="45" t="e">
        <f>INDEX(IMMAGINI!$L$3:$L$11,MATCH(MODULO!$Q$4,IMMAGINI!$K$3:$K$11,0))</f>
        <v>#N/A</v>
      </c>
      <c r="O6" s="70"/>
      <c r="P6" s="70"/>
      <c r="Q6" s="70"/>
      <c r="S6">
        <v>3</v>
      </c>
    </row>
    <row r="7" spans="1:19" ht="300" customHeight="1" x14ac:dyDescent="0.3">
      <c r="A7" s="81"/>
      <c r="B7" s="65" t="s">
        <v>70</v>
      </c>
      <c r="C7" s="70"/>
      <c r="D7" s="70"/>
      <c r="E7" s="70"/>
      <c r="F7" s="70"/>
      <c r="G7" s="70"/>
      <c r="H7" s="70"/>
      <c r="I7" s="70"/>
      <c r="J7" s="81"/>
      <c r="K7" s="65" t="s">
        <v>130</v>
      </c>
      <c r="L7" s="70"/>
      <c r="M7" s="70"/>
      <c r="N7" s="70"/>
      <c r="O7" s="70"/>
      <c r="P7" s="70"/>
      <c r="Q7" s="70"/>
      <c r="S7">
        <v>3</v>
      </c>
    </row>
    <row r="8" spans="1:19" ht="300" customHeight="1" x14ac:dyDescent="0.3">
      <c r="A8" s="81"/>
      <c r="B8" s="65" t="s">
        <v>84</v>
      </c>
      <c r="C8" s="70"/>
      <c r="D8" s="70"/>
      <c r="E8" s="70"/>
      <c r="F8" s="70"/>
      <c r="G8" s="70"/>
      <c r="H8" s="70"/>
      <c r="I8" s="70"/>
      <c r="J8" s="81"/>
      <c r="K8" s="65" t="s">
        <v>131</v>
      </c>
      <c r="L8" s="70"/>
      <c r="M8" s="70"/>
      <c r="N8" s="70"/>
      <c r="O8" s="70"/>
      <c r="P8" s="70"/>
      <c r="Q8" s="70"/>
      <c r="S8">
        <v>3</v>
      </c>
    </row>
    <row r="9" spans="1:19" ht="300" customHeight="1" x14ac:dyDescent="0.3">
      <c r="A9" s="81"/>
      <c r="B9" s="65" t="s">
        <v>81</v>
      </c>
      <c r="C9" s="70"/>
      <c r="D9" s="70"/>
      <c r="E9" s="70"/>
      <c r="F9" s="70"/>
      <c r="G9" s="70"/>
      <c r="H9" s="70"/>
      <c r="I9" s="70"/>
      <c r="J9" s="81"/>
      <c r="K9" s="65" t="s">
        <v>132</v>
      </c>
      <c r="L9" s="70"/>
      <c r="M9" s="70"/>
      <c r="N9" s="70"/>
      <c r="O9" s="70"/>
      <c r="P9" s="70"/>
      <c r="Q9" s="70"/>
      <c r="S9">
        <v>3</v>
      </c>
    </row>
    <row r="10" spans="1:19" ht="300" customHeight="1" x14ac:dyDescent="0.3">
      <c r="A10" s="81"/>
      <c r="B10" s="65" t="s">
        <v>86</v>
      </c>
      <c r="C10" s="70"/>
      <c r="D10" s="70"/>
      <c r="E10" s="70"/>
      <c r="F10" s="70"/>
      <c r="G10" s="70"/>
      <c r="H10" s="70"/>
      <c r="I10" s="70"/>
      <c r="J10" s="70"/>
      <c r="K10" s="65" t="s">
        <v>143</v>
      </c>
      <c r="L10" s="70"/>
      <c r="M10" s="70"/>
      <c r="S10">
        <v>3</v>
      </c>
    </row>
    <row r="11" spans="1:19" ht="300" customHeight="1" x14ac:dyDescent="0.3">
      <c r="B11" s="65" t="s">
        <v>146</v>
      </c>
      <c r="K11" s="65" t="s">
        <v>142</v>
      </c>
    </row>
    <row r="12" spans="1:19" ht="300" customHeight="1" x14ac:dyDescent="0.3">
      <c r="B12" s="118" t="s">
        <v>147</v>
      </c>
    </row>
    <row r="13" spans="1:19" ht="300" customHeight="1" x14ac:dyDescent="0.3">
      <c r="B13" s="118"/>
    </row>
    <row r="14" spans="1:19" ht="300" customHeight="1" x14ac:dyDescent="0.3">
      <c r="B14" s="118" t="s">
        <v>165</v>
      </c>
    </row>
    <row r="15" spans="1:19" x14ac:dyDescent="0.3">
      <c r="A15" s="81"/>
      <c r="B15" s="81" t="s">
        <v>6</v>
      </c>
      <c r="C15" s="312"/>
      <c r="D15" s="312"/>
      <c r="E15" s="312"/>
    </row>
    <row r="16" spans="1:19" ht="90" customHeight="1" x14ac:dyDescent="0.3">
      <c r="A16" s="81"/>
      <c r="B16" s="65" t="s">
        <v>96</v>
      </c>
      <c r="C16" s="70"/>
      <c r="D16" s="70"/>
      <c r="E16" s="70"/>
    </row>
    <row r="17" spans="1:5" ht="90" customHeight="1" x14ac:dyDescent="0.3">
      <c r="A17" s="81"/>
      <c r="B17" s="65" t="s">
        <v>100</v>
      </c>
      <c r="C17" s="70"/>
      <c r="D17" s="70"/>
      <c r="E17" s="70"/>
    </row>
    <row r="18" spans="1:5" ht="90" customHeight="1" x14ac:dyDescent="0.3">
      <c r="A18" s="81"/>
      <c r="B18" s="65" t="s">
        <v>101</v>
      </c>
      <c r="C18" s="70"/>
      <c r="D18" s="70"/>
      <c r="E18" s="70"/>
    </row>
  </sheetData>
  <sheetProtection algorithmName="SHA-512" hashValue="OoeJ2wqiKSXzhY+fd4IOZt7mcl0TtCJKs8Ria3lxgbUzgy9HRwVaTVn7xh6+svcTBBZvvojjicr2akYUraMYBQ==" saltValue="mF0KXdIhekk/Kolp8MNZzQ==" spinCount="100000" sheet="1" objects="1" scenarios="1" selectLockedCells="1"/>
  <mergeCells count="1">
    <mergeCell ref="C15:E15"/>
  </mergeCells>
  <pageMargins left="0.7" right="0.7" top="0.75" bottom="0.75" header="0.3" footer="0.3"/>
  <pageSetup paperSize="9" scale="1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D89C-56D7-4417-AD82-AE12F1A9BA5B}">
  <sheetPr codeName="Foglio6">
    <pageSetUpPr fitToPage="1"/>
  </sheetPr>
  <dimension ref="A1:AK203"/>
  <sheetViews>
    <sheetView showGridLines="0" showRowColHeaders="0" topLeftCell="A193" zoomScaleNormal="100" workbookViewId="0">
      <selection activeCell="AC114" sqref="AC114"/>
    </sheetView>
  </sheetViews>
  <sheetFormatPr defaultRowHeight="14.4" x14ac:dyDescent="0.3"/>
  <cols>
    <col min="1" max="1" width="20.44140625" bestFit="1" customWidth="1"/>
    <col min="2" max="2" width="7.6640625" style="57" customWidth="1"/>
    <col min="3" max="3" width="54.5546875" style="57" customWidth="1"/>
    <col min="4" max="4" width="26" style="58" customWidth="1"/>
    <col min="5" max="5" width="8.6640625" style="58" customWidth="1"/>
    <col min="6" max="6" width="9.6640625" style="58" customWidth="1"/>
    <col min="7" max="7" width="8.6640625" style="58" customWidth="1"/>
    <col min="8" max="8" width="9.6640625" style="58" customWidth="1"/>
    <col min="9" max="9" width="8.6640625" style="58" customWidth="1"/>
    <col min="10" max="10" width="31" style="58" customWidth="1"/>
    <col min="11" max="11" width="10.88671875" style="58" customWidth="1"/>
    <col min="12" max="12" width="34" style="58" customWidth="1"/>
    <col min="13" max="13" width="8.6640625" style="58" customWidth="1"/>
    <col min="14" max="14" width="9.6640625" style="58" customWidth="1"/>
    <col min="15" max="15" width="8.44140625" style="58" customWidth="1"/>
    <col min="20" max="20" width="50.44140625" customWidth="1"/>
    <col min="21" max="21" width="15.5546875" customWidth="1"/>
    <col min="23" max="23" width="16.33203125" customWidth="1"/>
    <col min="24" max="24" width="39.44140625" customWidth="1"/>
    <col min="29" max="29" width="39.5546875" customWidth="1"/>
    <col min="30" max="30" width="29.44140625" customWidth="1"/>
    <col min="31" max="31" width="26.109375" customWidth="1"/>
    <col min="32" max="32" width="31.33203125" customWidth="1"/>
    <col min="33" max="33" width="28.44140625" customWidth="1"/>
    <col min="34" max="34" width="22.109375" customWidth="1"/>
    <col min="35" max="35" width="18.6640625" customWidth="1"/>
    <col min="36" max="36" width="19.109375" customWidth="1"/>
    <col min="37" max="38" width="8.88671875" customWidth="1"/>
    <col min="257" max="257" width="20.44140625" bestFit="1" customWidth="1"/>
    <col min="258" max="259" width="7.6640625" customWidth="1"/>
    <col min="260" max="260" width="9.6640625" customWidth="1"/>
    <col min="261" max="261" width="8.6640625" customWidth="1"/>
    <col min="262" max="262" width="9.6640625" customWidth="1"/>
    <col min="263" max="263" width="8.6640625" customWidth="1"/>
    <col min="264" max="264" width="9.6640625" customWidth="1"/>
    <col min="265" max="265" width="8.6640625" customWidth="1"/>
    <col min="266" max="266" width="9.6640625" customWidth="1"/>
    <col min="267" max="267" width="8.44140625" customWidth="1"/>
    <col min="513" max="513" width="20.44140625" bestFit="1" customWidth="1"/>
    <col min="514" max="515" width="7.6640625" customWidth="1"/>
    <col min="516" max="516" width="9.6640625" customWidth="1"/>
    <col min="517" max="517" width="8.6640625" customWidth="1"/>
    <col min="518" max="518" width="9.6640625" customWidth="1"/>
    <col min="519" max="519" width="8.6640625" customWidth="1"/>
    <col min="520" max="520" width="9.6640625" customWidth="1"/>
    <col min="521" max="521" width="8.6640625" customWidth="1"/>
    <col min="522" max="522" width="9.6640625" customWidth="1"/>
    <col min="523" max="523" width="8.44140625" customWidth="1"/>
    <col min="769" max="769" width="20.44140625" bestFit="1" customWidth="1"/>
    <col min="770" max="771" width="7.6640625" customWidth="1"/>
    <col min="772" max="772" width="9.6640625" customWidth="1"/>
    <col min="773" max="773" width="8.6640625" customWidth="1"/>
    <col min="774" max="774" width="9.6640625" customWidth="1"/>
    <col min="775" max="775" width="8.6640625" customWidth="1"/>
    <col min="776" max="776" width="9.6640625" customWidth="1"/>
    <col min="777" max="777" width="8.6640625" customWidth="1"/>
    <col min="778" max="778" width="9.6640625" customWidth="1"/>
    <col min="779" max="779" width="8.44140625" customWidth="1"/>
    <col min="1025" max="1025" width="20.44140625" bestFit="1" customWidth="1"/>
    <col min="1026" max="1027" width="7.6640625" customWidth="1"/>
    <col min="1028" max="1028" width="9.6640625" customWidth="1"/>
    <col min="1029" max="1029" width="8.6640625" customWidth="1"/>
    <col min="1030" max="1030" width="9.6640625" customWidth="1"/>
    <col min="1031" max="1031" width="8.6640625" customWidth="1"/>
    <col min="1032" max="1032" width="9.6640625" customWidth="1"/>
    <col min="1033" max="1033" width="8.6640625" customWidth="1"/>
    <col min="1034" max="1034" width="9.6640625" customWidth="1"/>
    <col min="1035" max="1035" width="8.44140625" customWidth="1"/>
    <col min="1281" max="1281" width="20.44140625" bestFit="1" customWidth="1"/>
    <col min="1282" max="1283" width="7.6640625" customWidth="1"/>
    <col min="1284" max="1284" width="9.6640625" customWidth="1"/>
    <col min="1285" max="1285" width="8.6640625" customWidth="1"/>
    <col min="1286" max="1286" width="9.6640625" customWidth="1"/>
    <col min="1287" max="1287" width="8.6640625" customWidth="1"/>
    <col min="1288" max="1288" width="9.6640625" customWidth="1"/>
    <col min="1289" max="1289" width="8.6640625" customWidth="1"/>
    <col min="1290" max="1290" width="9.6640625" customWidth="1"/>
    <col min="1291" max="1291" width="8.44140625" customWidth="1"/>
    <col min="1537" max="1537" width="20.44140625" bestFit="1" customWidth="1"/>
    <col min="1538" max="1539" width="7.6640625" customWidth="1"/>
    <col min="1540" max="1540" width="9.6640625" customWidth="1"/>
    <col min="1541" max="1541" width="8.6640625" customWidth="1"/>
    <col min="1542" max="1542" width="9.6640625" customWidth="1"/>
    <col min="1543" max="1543" width="8.6640625" customWidth="1"/>
    <col min="1544" max="1544" width="9.6640625" customWidth="1"/>
    <col min="1545" max="1545" width="8.6640625" customWidth="1"/>
    <col min="1546" max="1546" width="9.6640625" customWidth="1"/>
    <col min="1547" max="1547" width="8.44140625" customWidth="1"/>
    <col min="1793" max="1793" width="20.44140625" bestFit="1" customWidth="1"/>
    <col min="1794" max="1795" width="7.6640625" customWidth="1"/>
    <col min="1796" max="1796" width="9.6640625" customWidth="1"/>
    <col min="1797" max="1797" width="8.6640625" customWidth="1"/>
    <col min="1798" max="1798" width="9.6640625" customWidth="1"/>
    <col min="1799" max="1799" width="8.6640625" customWidth="1"/>
    <col min="1800" max="1800" width="9.6640625" customWidth="1"/>
    <col min="1801" max="1801" width="8.6640625" customWidth="1"/>
    <col min="1802" max="1802" width="9.6640625" customWidth="1"/>
    <col min="1803" max="1803" width="8.44140625" customWidth="1"/>
    <col min="2049" max="2049" width="20.44140625" bestFit="1" customWidth="1"/>
    <col min="2050" max="2051" width="7.6640625" customWidth="1"/>
    <col min="2052" max="2052" width="9.6640625" customWidth="1"/>
    <col min="2053" max="2053" width="8.6640625" customWidth="1"/>
    <col min="2054" max="2054" width="9.6640625" customWidth="1"/>
    <col min="2055" max="2055" width="8.6640625" customWidth="1"/>
    <col min="2056" max="2056" width="9.6640625" customWidth="1"/>
    <col min="2057" max="2057" width="8.6640625" customWidth="1"/>
    <col min="2058" max="2058" width="9.6640625" customWidth="1"/>
    <col min="2059" max="2059" width="8.44140625" customWidth="1"/>
    <col min="2305" max="2305" width="20.44140625" bestFit="1" customWidth="1"/>
    <col min="2306" max="2307" width="7.6640625" customWidth="1"/>
    <col min="2308" max="2308" width="9.6640625" customWidth="1"/>
    <col min="2309" max="2309" width="8.6640625" customWidth="1"/>
    <col min="2310" max="2310" width="9.6640625" customWidth="1"/>
    <col min="2311" max="2311" width="8.6640625" customWidth="1"/>
    <col min="2312" max="2312" width="9.6640625" customWidth="1"/>
    <col min="2313" max="2313" width="8.6640625" customWidth="1"/>
    <col min="2314" max="2314" width="9.6640625" customWidth="1"/>
    <col min="2315" max="2315" width="8.44140625" customWidth="1"/>
    <col min="2561" max="2561" width="20.44140625" bestFit="1" customWidth="1"/>
    <col min="2562" max="2563" width="7.6640625" customWidth="1"/>
    <col min="2564" max="2564" width="9.6640625" customWidth="1"/>
    <col min="2565" max="2565" width="8.6640625" customWidth="1"/>
    <col min="2566" max="2566" width="9.6640625" customWidth="1"/>
    <col min="2567" max="2567" width="8.6640625" customWidth="1"/>
    <col min="2568" max="2568" width="9.6640625" customWidth="1"/>
    <col min="2569" max="2569" width="8.6640625" customWidth="1"/>
    <col min="2570" max="2570" width="9.6640625" customWidth="1"/>
    <col min="2571" max="2571" width="8.44140625" customWidth="1"/>
    <col min="2817" max="2817" width="20.44140625" bestFit="1" customWidth="1"/>
    <col min="2818" max="2819" width="7.6640625" customWidth="1"/>
    <col min="2820" max="2820" width="9.6640625" customWidth="1"/>
    <col min="2821" max="2821" width="8.6640625" customWidth="1"/>
    <col min="2822" max="2822" width="9.6640625" customWidth="1"/>
    <col min="2823" max="2823" width="8.6640625" customWidth="1"/>
    <col min="2824" max="2824" width="9.6640625" customWidth="1"/>
    <col min="2825" max="2825" width="8.6640625" customWidth="1"/>
    <col min="2826" max="2826" width="9.6640625" customWidth="1"/>
    <col min="2827" max="2827" width="8.44140625" customWidth="1"/>
    <col min="3073" max="3073" width="20.44140625" bestFit="1" customWidth="1"/>
    <col min="3074" max="3075" width="7.6640625" customWidth="1"/>
    <col min="3076" max="3076" width="9.6640625" customWidth="1"/>
    <col min="3077" max="3077" width="8.6640625" customWidth="1"/>
    <col min="3078" max="3078" width="9.6640625" customWidth="1"/>
    <col min="3079" max="3079" width="8.6640625" customWidth="1"/>
    <col min="3080" max="3080" width="9.6640625" customWidth="1"/>
    <col min="3081" max="3081" width="8.6640625" customWidth="1"/>
    <col min="3082" max="3082" width="9.6640625" customWidth="1"/>
    <col min="3083" max="3083" width="8.44140625" customWidth="1"/>
    <col min="3329" max="3329" width="20.44140625" bestFit="1" customWidth="1"/>
    <col min="3330" max="3331" width="7.6640625" customWidth="1"/>
    <col min="3332" max="3332" width="9.6640625" customWidth="1"/>
    <col min="3333" max="3333" width="8.6640625" customWidth="1"/>
    <col min="3334" max="3334" width="9.6640625" customWidth="1"/>
    <col min="3335" max="3335" width="8.6640625" customWidth="1"/>
    <col min="3336" max="3336" width="9.6640625" customWidth="1"/>
    <col min="3337" max="3337" width="8.6640625" customWidth="1"/>
    <col min="3338" max="3338" width="9.6640625" customWidth="1"/>
    <col min="3339" max="3339" width="8.44140625" customWidth="1"/>
    <col min="3585" max="3585" width="20.44140625" bestFit="1" customWidth="1"/>
    <col min="3586" max="3587" width="7.6640625" customWidth="1"/>
    <col min="3588" max="3588" width="9.6640625" customWidth="1"/>
    <col min="3589" max="3589" width="8.6640625" customWidth="1"/>
    <col min="3590" max="3590" width="9.6640625" customWidth="1"/>
    <col min="3591" max="3591" width="8.6640625" customWidth="1"/>
    <col min="3592" max="3592" width="9.6640625" customWidth="1"/>
    <col min="3593" max="3593" width="8.6640625" customWidth="1"/>
    <col min="3594" max="3594" width="9.6640625" customWidth="1"/>
    <col min="3595" max="3595" width="8.44140625" customWidth="1"/>
    <col min="3841" max="3841" width="20.44140625" bestFit="1" customWidth="1"/>
    <col min="3842" max="3843" width="7.6640625" customWidth="1"/>
    <col min="3844" max="3844" width="9.6640625" customWidth="1"/>
    <col min="3845" max="3845" width="8.6640625" customWidth="1"/>
    <col min="3846" max="3846" width="9.6640625" customWidth="1"/>
    <col min="3847" max="3847" width="8.6640625" customWidth="1"/>
    <col min="3848" max="3848" width="9.6640625" customWidth="1"/>
    <col min="3849" max="3849" width="8.6640625" customWidth="1"/>
    <col min="3850" max="3850" width="9.6640625" customWidth="1"/>
    <col min="3851" max="3851" width="8.44140625" customWidth="1"/>
    <col min="4097" max="4097" width="20.44140625" bestFit="1" customWidth="1"/>
    <col min="4098" max="4099" width="7.6640625" customWidth="1"/>
    <col min="4100" max="4100" width="9.6640625" customWidth="1"/>
    <col min="4101" max="4101" width="8.6640625" customWidth="1"/>
    <col min="4102" max="4102" width="9.6640625" customWidth="1"/>
    <col min="4103" max="4103" width="8.6640625" customWidth="1"/>
    <col min="4104" max="4104" width="9.6640625" customWidth="1"/>
    <col min="4105" max="4105" width="8.6640625" customWidth="1"/>
    <col min="4106" max="4106" width="9.6640625" customWidth="1"/>
    <col min="4107" max="4107" width="8.44140625" customWidth="1"/>
    <col min="4353" max="4353" width="20.44140625" bestFit="1" customWidth="1"/>
    <col min="4354" max="4355" width="7.6640625" customWidth="1"/>
    <col min="4356" max="4356" width="9.6640625" customWidth="1"/>
    <col min="4357" max="4357" width="8.6640625" customWidth="1"/>
    <col min="4358" max="4358" width="9.6640625" customWidth="1"/>
    <col min="4359" max="4359" width="8.6640625" customWidth="1"/>
    <col min="4360" max="4360" width="9.6640625" customWidth="1"/>
    <col min="4361" max="4361" width="8.6640625" customWidth="1"/>
    <col min="4362" max="4362" width="9.6640625" customWidth="1"/>
    <col min="4363" max="4363" width="8.44140625" customWidth="1"/>
    <col min="4609" max="4609" width="20.44140625" bestFit="1" customWidth="1"/>
    <col min="4610" max="4611" width="7.6640625" customWidth="1"/>
    <col min="4612" max="4612" width="9.6640625" customWidth="1"/>
    <col min="4613" max="4613" width="8.6640625" customWidth="1"/>
    <col min="4614" max="4614" width="9.6640625" customWidth="1"/>
    <col min="4615" max="4615" width="8.6640625" customWidth="1"/>
    <col min="4616" max="4616" width="9.6640625" customWidth="1"/>
    <col min="4617" max="4617" width="8.6640625" customWidth="1"/>
    <col min="4618" max="4618" width="9.6640625" customWidth="1"/>
    <col min="4619" max="4619" width="8.44140625" customWidth="1"/>
    <col min="4865" max="4865" width="20.44140625" bestFit="1" customWidth="1"/>
    <col min="4866" max="4867" width="7.6640625" customWidth="1"/>
    <col min="4868" max="4868" width="9.6640625" customWidth="1"/>
    <col min="4869" max="4869" width="8.6640625" customWidth="1"/>
    <col min="4870" max="4870" width="9.6640625" customWidth="1"/>
    <col min="4871" max="4871" width="8.6640625" customWidth="1"/>
    <col min="4872" max="4872" width="9.6640625" customWidth="1"/>
    <col min="4873" max="4873" width="8.6640625" customWidth="1"/>
    <col min="4874" max="4874" width="9.6640625" customWidth="1"/>
    <col min="4875" max="4875" width="8.44140625" customWidth="1"/>
    <col min="5121" max="5121" width="20.44140625" bestFit="1" customWidth="1"/>
    <col min="5122" max="5123" width="7.6640625" customWidth="1"/>
    <col min="5124" max="5124" width="9.6640625" customWidth="1"/>
    <col min="5125" max="5125" width="8.6640625" customWidth="1"/>
    <col min="5126" max="5126" width="9.6640625" customWidth="1"/>
    <col min="5127" max="5127" width="8.6640625" customWidth="1"/>
    <col min="5128" max="5128" width="9.6640625" customWidth="1"/>
    <col min="5129" max="5129" width="8.6640625" customWidth="1"/>
    <col min="5130" max="5130" width="9.6640625" customWidth="1"/>
    <col min="5131" max="5131" width="8.44140625" customWidth="1"/>
    <col min="5377" max="5377" width="20.44140625" bestFit="1" customWidth="1"/>
    <col min="5378" max="5379" width="7.6640625" customWidth="1"/>
    <col min="5380" max="5380" width="9.6640625" customWidth="1"/>
    <col min="5381" max="5381" width="8.6640625" customWidth="1"/>
    <col min="5382" max="5382" width="9.6640625" customWidth="1"/>
    <col min="5383" max="5383" width="8.6640625" customWidth="1"/>
    <col min="5384" max="5384" width="9.6640625" customWidth="1"/>
    <col min="5385" max="5385" width="8.6640625" customWidth="1"/>
    <col min="5386" max="5386" width="9.6640625" customWidth="1"/>
    <col min="5387" max="5387" width="8.44140625" customWidth="1"/>
    <col min="5633" max="5633" width="20.44140625" bestFit="1" customWidth="1"/>
    <col min="5634" max="5635" width="7.6640625" customWidth="1"/>
    <col min="5636" max="5636" width="9.6640625" customWidth="1"/>
    <col min="5637" max="5637" width="8.6640625" customWidth="1"/>
    <col min="5638" max="5638" width="9.6640625" customWidth="1"/>
    <col min="5639" max="5639" width="8.6640625" customWidth="1"/>
    <col min="5640" max="5640" width="9.6640625" customWidth="1"/>
    <col min="5641" max="5641" width="8.6640625" customWidth="1"/>
    <col min="5642" max="5642" width="9.6640625" customWidth="1"/>
    <col min="5643" max="5643" width="8.44140625" customWidth="1"/>
    <col min="5889" max="5889" width="20.44140625" bestFit="1" customWidth="1"/>
    <col min="5890" max="5891" width="7.6640625" customWidth="1"/>
    <col min="5892" max="5892" width="9.6640625" customWidth="1"/>
    <col min="5893" max="5893" width="8.6640625" customWidth="1"/>
    <col min="5894" max="5894" width="9.6640625" customWidth="1"/>
    <col min="5895" max="5895" width="8.6640625" customWidth="1"/>
    <col min="5896" max="5896" width="9.6640625" customWidth="1"/>
    <col min="5897" max="5897" width="8.6640625" customWidth="1"/>
    <col min="5898" max="5898" width="9.6640625" customWidth="1"/>
    <col min="5899" max="5899" width="8.44140625" customWidth="1"/>
    <col min="6145" max="6145" width="20.44140625" bestFit="1" customWidth="1"/>
    <col min="6146" max="6147" width="7.6640625" customWidth="1"/>
    <col min="6148" max="6148" width="9.6640625" customWidth="1"/>
    <col min="6149" max="6149" width="8.6640625" customWidth="1"/>
    <col min="6150" max="6150" width="9.6640625" customWidth="1"/>
    <col min="6151" max="6151" width="8.6640625" customWidth="1"/>
    <col min="6152" max="6152" width="9.6640625" customWidth="1"/>
    <col min="6153" max="6153" width="8.6640625" customWidth="1"/>
    <col min="6154" max="6154" width="9.6640625" customWidth="1"/>
    <col min="6155" max="6155" width="8.44140625" customWidth="1"/>
    <col min="6401" max="6401" width="20.44140625" bestFit="1" customWidth="1"/>
    <col min="6402" max="6403" width="7.6640625" customWidth="1"/>
    <col min="6404" max="6404" width="9.6640625" customWidth="1"/>
    <col min="6405" max="6405" width="8.6640625" customWidth="1"/>
    <col min="6406" max="6406" width="9.6640625" customWidth="1"/>
    <col min="6407" max="6407" width="8.6640625" customWidth="1"/>
    <col min="6408" max="6408" width="9.6640625" customWidth="1"/>
    <col min="6409" max="6409" width="8.6640625" customWidth="1"/>
    <col min="6410" max="6410" width="9.6640625" customWidth="1"/>
    <col min="6411" max="6411" width="8.44140625" customWidth="1"/>
    <col min="6657" max="6657" width="20.44140625" bestFit="1" customWidth="1"/>
    <col min="6658" max="6659" width="7.6640625" customWidth="1"/>
    <col min="6660" max="6660" width="9.6640625" customWidth="1"/>
    <col min="6661" max="6661" width="8.6640625" customWidth="1"/>
    <col min="6662" max="6662" width="9.6640625" customWidth="1"/>
    <col min="6663" max="6663" width="8.6640625" customWidth="1"/>
    <col min="6664" max="6664" width="9.6640625" customWidth="1"/>
    <col min="6665" max="6665" width="8.6640625" customWidth="1"/>
    <col min="6666" max="6666" width="9.6640625" customWidth="1"/>
    <col min="6667" max="6667" width="8.44140625" customWidth="1"/>
    <col min="6913" max="6913" width="20.44140625" bestFit="1" customWidth="1"/>
    <col min="6914" max="6915" width="7.6640625" customWidth="1"/>
    <col min="6916" max="6916" width="9.6640625" customWidth="1"/>
    <col min="6917" max="6917" width="8.6640625" customWidth="1"/>
    <col min="6918" max="6918" width="9.6640625" customWidth="1"/>
    <col min="6919" max="6919" width="8.6640625" customWidth="1"/>
    <col min="6920" max="6920" width="9.6640625" customWidth="1"/>
    <col min="6921" max="6921" width="8.6640625" customWidth="1"/>
    <col min="6922" max="6922" width="9.6640625" customWidth="1"/>
    <col min="6923" max="6923" width="8.44140625" customWidth="1"/>
    <col min="7169" max="7169" width="20.44140625" bestFit="1" customWidth="1"/>
    <col min="7170" max="7171" width="7.6640625" customWidth="1"/>
    <col min="7172" max="7172" width="9.6640625" customWidth="1"/>
    <col min="7173" max="7173" width="8.6640625" customWidth="1"/>
    <col min="7174" max="7174" width="9.6640625" customWidth="1"/>
    <col min="7175" max="7175" width="8.6640625" customWidth="1"/>
    <col min="7176" max="7176" width="9.6640625" customWidth="1"/>
    <col min="7177" max="7177" width="8.6640625" customWidth="1"/>
    <col min="7178" max="7178" width="9.6640625" customWidth="1"/>
    <col min="7179" max="7179" width="8.44140625" customWidth="1"/>
    <col min="7425" max="7425" width="20.44140625" bestFit="1" customWidth="1"/>
    <col min="7426" max="7427" width="7.6640625" customWidth="1"/>
    <col min="7428" max="7428" width="9.6640625" customWidth="1"/>
    <col min="7429" max="7429" width="8.6640625" customWidth="1"/>
    <col min="7430" max="7430" width="9.6640625" customWidth="1"/>
    <col min="7431" max="7431" width="8.6640625" customWidth="1"/>
    <col min="7432" max="7432" width="9.6640625" customWidth="1"/>
    <col min="7433" max="7433" width="8.6640625" customWidth="1"/>
    <col min="7434" max="7434" width="9.6640625" customWidth="1"/>
    <col min="7435" max="7435" width="8.44140625" customWidth="1"/>
    <col min="7681" max="7681" width="20.44140625" bestFit="1" customWidth="1"/>
    <col min="7682" max="7683" width="7.6640625" customWidth="1"/>
    <col min="7684" max="7684" width="9.6640625" customWidth="1"/>
    <col min="7685" max="7685" width="8.6640625" customWidth="1"/>
    <col min="7686" max="7686" width="9.6640625" customWidth="1"/>
    <col min="7687" max="7687" width="8.6640625" customWidth="1"/>
    <col min="7688" max="7688" width="9.6640625" customWidth="1"/>
    <col min="7689" max="7689" width="8.6640625" customWidth="1"/>
    <col min="7690" max="7690" width="9.6640625" customWidth="1"/>
    <col min="7691" max="7691" width="8.44140625" customWidth="1"/>
    <col min="7937" max="7937" width="20.44140625" bestFit="1" customWidth="1"/>
    <col min="7938" max="7939" width="7.6640625" customWidth="1"/>
    <col min="7940" max="7940" width="9.6640625" customWidth="1"/>
    <col min="7941" max="7941" width="8.6640625" customWidth="1"/>
    <col min="7942" max="7942" width="9.6640625" customWidth="1"/>
    <col min="7943" max="7943" width="8.6640625" customWidth="1"/>
    <col min="7944" max="7944" width="9.6640625" customWidth="1"/>
    <col min="7945" max="7945" width="8.6640625" customWidth="1"/>
    <col min="7946" max="7946" width="9.6640625" customWidth="1"/>
    <col min="7947" max="7947" width="8.44140625" customWidth="1"/>
    <col min="8193" max="8193" width="20.44140625" bestFit="1" customWidth="1"/>
    <col min="8194" max="8195" width="7.6640625" customWidth="1"/>
    <col min="8196" max="8196" width="9.6640625" customWidth="1"/>
    <col min="8197" max="8197" width="8.6640625" customWidth="1"/>
    <col min="8198" max="8198" width="9.6640625" customWidth="1"/>
    <col min="8199" max="8199" width="8.6640625" customWidth="1"/>
    <col min="8200" max="8200" width="9.6640625" customWidth="1"/>
    <col min="8201" max="8201" width="8.6640625" customWidth="1"/>
    <col min="8202" max="8202" width="9.6640625" customWidth="1"/>
    <col min="8203" max="8203" width="8.44140625" customWidth="1"/>
    <col min="8449" max="8449" width="20.44140625" bestFit="1" customWidth="1"/>
    <col min="8450" max="8451" width="7.6640625" customWidth="1"/>
    <col min="8452" max="8452" width="9.6640625" customWidth="1"/>
    <col min="8453" max="8453" width="8.6640625" customWidth="1"/>
    <col min="8454" max="8454" width="9.6640625" customWidth="1"/>
    <col min="8455" max="8455" width="8.6640625" customWidth="1"/>
    <col min="8456" max="8456" width="9.6640625" customWidth="1"/>
    <col min="8457" max="8457" width="8.6640625" customWidth="1"/>
    <col min="8458" max="8458" width="9.6640625" customWidth="1"/>
    <col min="8459" max="8459" width="8.44140625" customWidth="1"/>
    <col min="8705" max="8705" width="20.44140625" bestFit="1" customWidth="1"/>
    <col min="8706" max="8707" width="7.6640625" customWidth="1"/>
    <col min="8708" max="8708" width="9.6640625" customWidth="1"/>
    <col min="8709" max="8709" width="8.6640625" customWidth="1"/>
    <col min="8710" max="8710" width="9.6640625" customWidth="1"/>
    <col min="8711" max="8711" width="8.6640625" customWidth="1"/>
    <col min="8712" max="8712" width="9.6640625" customWidth="1"/>
    <col min="8713" max="8713" width="8.6640625" customWidth="1"/>
    <col min="8714" max="8714" width="9.6640625" customWidth="1"/>
    <col min="8715" max="8715" width="8.44140625" customWidth="1"/>
    <col min="8961" max="8961" width="20.44140625" bestFit="1" customWidth="1"/>
    <col min="8962" max="8963" width="7.6640625" customWidth="1"/>
    <col min="8964" max="8964" width="9.6640625" customWidth="1"/>
    <col min="8965" max="8965" width="8.6640625" customWidth="1"/>
    <col min="8966" max="8966" width="9.6640625" customWidth="1"/>
    <col min="8967" max="8967" width="8.6640625" customWidth="1"/>
    <col min="8968" max="8968" width="9.6640625" customWidth="1"/>
    <col min="8969" max="8969" width="8.6640625" customWidth="1"/>
    <col min="8970" max="8970" width="9.6640625" customWidth="1"/>
    <col min="8971" max="8971" width="8.44140625" customWidth="1"/>
    <col min="9217" max="9217" width="20.44140625" bestFit="1" customWidth="1"/>
    <col min="9218" max="9219" width="7.6640625" customWidth="1"/>
    <col min="9220" max="9220" width="9.6640625" customWidth="1"/>
    <col min="9221" max="9221" width="8.6640625" customWidth="1"/>
    <col min="9222" max="9222" width="9.6640625" customWidth="1"/>
    <col min="9223" max="9223" width="8.6640625" customWidth="1"/>
    <col min="9224" max="9224" width="9.6640625" customWidth="1"/>
    <col min="9225" max="9225" width="8.6640625" customWidth="1"/>
    <col min="9226" max="9226" width="9.6640625" customWidth="1"/>
    <col min="9227" max="9227" width="8.44140625" customWidth="1"/>
    <col min="9473" max="9473" width="20.44140625" bestFit="1" customWidth="1"/>
    <col min="9474" max="9475" width="7.6640625" customWidth="1"/>
    <col min="9476" max="9476" width="9.6640625" customWidth="1"/>
    <col min="9477" max="9477" width="8.6640625" customWidth="1"/>
    <col min="9478" max="9478" width="9.6640625" customWidth="1"/>
    <col min="9479" max="9479" width="8.6640625" customWidth="1"/>
    <col min="9480" max="9480" width="9.6640625" customWidth="1"/>
    <col min="9481" max="9481" width="8.6640625" customWidth="1"/>
    <col min="9482" max="9482" width="9.6640625" customWidth="1"/>
    <col min="9483" max="9483" width="8.44140625" customWidth="1"/>
    <col min="9729" max="9729" width="20.44140625" bestFit="1" customWidth="1"/>
    <col min="9730" max="9731" width="7.6640625" customWidth="1"/>
    <col min="9732" max="9732" width="9.6640625" customWidth="1"/>
    <col min="9733" max="9733" width="8.6640625" customWidth="1"/>
    <col min="9734" max="9734" width="9.6640625" customWidth="1"/>
    <col min="9735" max="9735" width="8.6640625" customWidth="1"/>
    <col min="9736" max="9736" width="9.6640625" customWidth="1"/>
    <col min="9737" max="9737" width="8.6640625" customWidth="1"/>
    <col min="9738" max="9738" width="9.6640625" customWidth="1"/>
    <col min="9739" max="9739" width="8.44140625" customWidth="1"/>
    <col min="9985" max="9985" width="20.44140625" bestFit="1" customWidth="1"/>
    <col min="9986" max="9987" width="7.6640625" customWidth="1"/>
    <col min="9988" max="9988" width="9.6640625" customWidth="1"/>
    <col min="9989" max="9989" width="8.6640625" customWidth="1"/>
    <col min="9990" max="9990" width="9.6640625" customWidth="1"/>
    <col min="9991" max="9991" width="8.6640625" customWidth="1"/>
    <col min="9992" max="9992" width="9.6640625" customWidth="1"/>
    <col min="9993" max="9993" width="8.6640625" customWidth="1"/>
    <col min="9994" max="9994" width="9.6640625" customWidth="1"/>
    <col min="9995" max="9995" width="8.44140625" customWidth="1"/>
    <col min="10241" max="10241" width="20.44140625" bestFit="1" customWidth="1"/>
    <col min="10242" max="10243" width="7.6640625" customWidth="1"/>
    <col min="10244" max="10244" width="9.6640625" customWidth="1"/>
    <col min="10245" max="10245" width="8.6640625" customWidth="1"/>
    <col min="10246" max="10246" width="9.6640625" customWidth="1"/>
    <col min="10247" max="10247" width="8.6640625" customWidth="1"/>
    <col min="10248" max="10248" width="9.6640625" customWidth="1"/>
    <col min="10249" max="10249" width="8.6640625" customWidth="1"/>
    <col min="10250" max="10250" width="9.6640625" customWidth="1"/>
    <col min="10251" max="10251" width="8.44140625" customWidth="1"/>
    <col min="10497" max="10497" width="20.44140625" bestFit="1" customWidth="1"/>
    <col min="10498" max="10499" width="7.6640625" customWidth="1"/>
    <col min="10500" max="10500" width="9.6640625" customWidth="1"/>
    <col min="10501" max="10501" width="8.6640625" customWidth="1"/>
    <col min="10502" max="10502" width="9.6640625" customWidth="1"/>
    <col min="10503" max="10503" width="8.6640625" customWidth="1"/>
    <col min="10504" max="10504" width="9.6640625" customWidth="1"/>
    <col min="10505" max="10505" width="8.6640625" customWidth="1"/>
    <col min="10506" max="10506" width="9.6640625" customWidth="1"/>
    <col min="10507" max="10507" width="8.44140625" customWidth="1"/>
    <col min="10753" max="10753" width="20.44140625" bestFit="1" customWidth="1"/>
    <col min="10754" max="10755" width="7.6640625" customWidth="1"/>
    <col min="10756" max="10756" width="9.6640625" customWidth="1"/>
    <col min="10757" max="10757" width="8.6640625" customWidth="1"/>
    <col min="10758" max="10758" width="9.6640625" customWidth="1"/>
    <col min="10759" max="10759" width="8.6640625" customWidth="1"/>
    <col min="10760" max="10760" width="9.6640625" customWidth="1"/>
    <col min="10761" max="10761" width="8.6640625" customWidth="1"/>
    <col min="10762" max="10762" width="9.6640625" customWidth="1"/>
    <col min="10763" max="10763" width="8.44140625" customWidth="1"/>
    <col min="11009" max="11009" width="20.44140625" bestFit="1" customWidth="1"/>
    <col min="11010" max="11011" width="7.6640625" customWidth="1"/>
    <col min="11012" max="11012" width="9.6640625" customWidth="1"/>
    <col min="11013" max="11013" width="8.6640625" customWidth="1"/>
    <col min="11014" max="11014" width="9.6640625" customWidth="1"/>
    <col min="11015" max="11015" width="8.6640625" customWidth="1"/>
    <col min="11016" max="11016" width="9.6640625" customWidth="1"/>
    <col min="11017" max="11017" width="8.6640625" customWidth="1"/>
    <col min="11018" max="11018" width="9.6640625" customWidth="1"/>
    <col min="11019" max="11019" width="8.44140625" customWidth="1"/>
    <col min="11265" max="11265" width="20.44140625" bestFit="1" customWidth="1"/>
    <col min="11266" max="11267" width="7.6640625" customWidth="1"/>
    <col min="11268" max="11268" width="9.6640625" customWidth="1"/>
    <col min="11269" max="11269" width="8.6640625" customWidth="1"/>
    <col min="11270" max="11270" width="9.6640625" customWidth="1"/>
    <col min="11271" max="11271" width="8.6640625" customWidth="1"/>
    <col min="11272" max="11272" width="9.6640625" customWidth="1"/>
    <col min="11273" max="11273" width="8.6640625" customWidth="1"/>
    <col min="11274" max="11274" width="9.6640625" customWidth="1"/>
    <col min="11275" max="11275" width="8.44140625" customWidth="1"/>
    <col min="11521" max="11521" width="20.44140625" bestFit="1" customWidth="1"/>
    <col min="11522" max="11523" width="7.6640625" customWidth="1"/>
    <col min="11524" max="11524" width="9.6640625" customWidth="1"/>
    <col min="11525" max="11525" width="8.6640625" customWidth="1"/>
    <col min="11526" max="11526" width="9.6640625" customWidth="1"/>
    <col min="11527" max="11527" width="8.6640625" customWidth="1"/>
    <col min="11528" max="11528" width="9.6640625" customWidth="1"/>
    <col min="11529" max="11529" width="8.6640625" customWidth="1"/>
    <col min="11530" max="11530" width="9.6640625" customWidth="1"/>
    <col min="11531" max="11531" width="8.44140625" customWidth="1"/>
    <col min="11777" max="11777" width="20.44140625" bestFit="1" customWidth="1"/>
    <col min="11778" max="11779" width="7.6640625" customWidth="1"/>
    <col min="11780" max="11780" width="9.6640625" customWidth="1"/>
    <col min="11781" max="11781" width="8.6640625" customWidth="1"/>
    <col min="11782" max="11782" width="9.6640625" customWidth="1"/>
    <col min="11783" max="11783" width="8.6640625" customWidth="1"/>
    <col min="11784" max="11784" width="9.6640625" customWidth="1"/>
    <col min="11785" max="11785" width="8.6640625" customWidth="1"/>
    <col min="11786" max="11786" width="9.6640625" customWidth="1"/>
    <col min="11787" max="11787" width="8.44140625" customWidth="1"/>
    <col min="12033" max="12033" width="20.44140625" bestFit="1" customWidth="1"/>
    <col min="12034" max="12035" width="7.6640625" customWidth="1"/>
    <col min="12036" max="12036" width="9.6640625" customWidth="1"/>
    <col min="12037" max="12037" width="8.6640625" customWidth="1"/>
    <col min="12038" max="12038" width="9.6640625" customWidth="1"/>
    <col min="12039" max="12039" width="8.6640625" customWidth="1"/>
    <col min="12040" max="12040" width="9.6640625" customWidth="1"/>
    <col min="12041" max="12041" width="8.6640625" customWidth="1"/>
    <col min="12042" max="12042" width="9.6640625" customWidth="1"/>
    <col min="12043" max="12043" width="8.44140625" customWidth="1"/>
    <col min="12289" max="12289" width="20.44140625" bestFit="1" customWidth="1"/>
    <col min="12290" max="12291" width="7.6640625" customWidth="1"/>
    <col min="12292" max="12292" width="9.6640625" customWidth="1"/>
    <col min="12293" max="12293" width="8.6640625" customWidth="1"/>
    <col min="12294" max="12294" width="9.6640625" customWidth="1"/>
    <col min="12295" max="12295" width="8.6640625" customWidth="1"/>
    <col min="12296" max="12296" width="9.6640625" customWidth="1"/>
    <col min="12297" max="12297" width="8.6640625" customWidth="1"/>
    <col min="12298" max="12298" width="9.6640625" customWidth="1"/>
    <col min="12299" max="12299" width="8.44140625" customWidth="1"/>
    <col min="12545" max="12545" width="20.44140625" bestFit="1" customWidth="1"/>
    <col min="12546" max="12547" width="7.6640625" customWidth="1"/>
    <col min="12548" max="12548" width="9.6640625" customWidth="1"/>
    <col min="12549" max="12549" width="8.6640625" customWidth="1"/>
    <col min="12550" max="12550" width="9.6640625" customWidth="1"/>
    <col min="12551" max="12551" width="8.6640625" customWidth="1"/>
    <col min="12552" max="12552" width="9.6640625" customWidth="1"/>
    <col min="12553" max="12553" width="8.6640625" customWidth="1"/>
    <col min="12554" max="12554" width="9.6640625" customWidth="1"/>
    <col min="12555" max="12555" width="8.44140625" customWidth="1"/>
    <col min="12801" max="12801" width="20.44140625" bestFit="1" customWidth="1"/>
    <col min="12802" max="12803" width="7.6640625" customWidth="1"/>
    <col min="12804" max="12804" width="9.6640625" customWidth="1"/>
    <col min="12805" max="12805" width="8.6640625" customWidth="1"/>
    <col min="12806" max="12806" width="9.6640625" customWidth="1"/>
    <col min="12807" max="12807" width="8.6640625" customWidth="1"/>
    <col min="12808" max="12808" width="9.6640625" customWidth="1"/>
    <col min="12809" max="12809" width="8.6640625" customWidth="1"/>
    <col min="12810" max="12810" width="9.6640625" customWidth="1"/>
    <col min="12811" max="12811" width="8.44140625" customWidth="1"/>
    <col min="13057" max="13057" width="20.44140625" bestFit="1" customWidth="1"/>
    <col min="13058" max="13059" width="7.6640625" customWidth="1"/>
    <col min="13060" max="13060" width="9.6640625" customWidth="1"/>
    <col min="13061" max="13061" width="8.6640625" customWidth="1"/>
    <col min="13062" max="13062" width="9.6640625" customWidth="1"/>
    <col min="13063" max="13063" width="8.6640625" customWidth="1"/>
    <col min="13064" max="13064" width="9.6640625" customWidth="1"/>
    <col min="13065" max="13065" width="8.6640625" customWidth="1"/>
    <col min="13066" max="13066" width="9.6640625" customWidth="1"/>
    <col min="13067" max="13067" width="8.44140625" customWidth="1"/>
    <col min="13313" max="13313" width="20.44140625" bestFit="1" customWidth="1"/>
    <col min="13314" max="13315" width="7.6640625" customWidth="1"/>
    <col min="13316" max="13316" width="9.6640625" customWidth="1"/>
    <col min="13317" max="13317" width="8.6640625" customWidth="1"/>
    <col min="13318" max="13318" width="9.6640625" customWidth="1"/>
    <col min="13319" max="13319" width="8.6640625" customWidth="1"/>
    <col min="13320" max="13320" width="9.6640625" customWidth="1"/>
    <col min="13321" max="13321" width="8.6640625" customWidth="1"/>
    <col min="13322" max="13322" width="9.6640625" customWidth="1"/>
    <col min="13323" max="13323" width="8.44140625" customWidth="1"/>
    <col min="13569" max="13569" width="20.44140625" bestFit="1" customWidth="1"/>
    <col min="13570" max="13571" width="7.6640625" customWidth="1"/>
    <col min="13572" max="13572" width="9.6640625" customWidth="1"/>
    <col min="13573" max="13573" width="8.6640625" customWidth="1"/>
    <col min="13574" max="13574" width="9.6640625" customWidth="1"/>
    <col min="13575" max="13575" width="8.6640625" customWidth="1"/>
    <col min="13576" max="13576" width="9.6640625" customWidth="1"/>
    <col min="13577" max="13577" width="8.6640625" customWidth="1"/>
    <col min="13578" max="13578" width="9.6640625" customWidth="1"/>
    <col min="13579" max="13579" width="8.44140625" customWidth="1"/>
    <col min="13825" max="13825" width="20.44140625" bestFit="1" customWidth="1"/>
    <col min="13826" max="13827" width="7.6640625" customWidth="1"/>
    <col min="13828" max="13828" width="9.6640625" customWidth="1"/>
    <col min="13829" max="13829" width="8.6640625" customWidth="1"/>
    <col min="13830" max="13830" width="9.6640625" customWidth="1"/>
    <col min="13831" max="13831" width="8.6640625" customWidth="1"/>
    <col min="13832" max="13832" width="9.6640625" customWidth="1"/>
    <col min="13833" max="13833" width="8.6640625" customWidth="1"/>
    <col min="13834" max="13834" width="9.6640625" customWidth="1"/>
    <col min="13835" max="13835" width="8.44140625" customWidth="1"/>
    <col min="14081" max="14081" width="20.44140625" bestFit="1" customWidth="1"/>
    <col min="14082" max="14083" width="7.6640625" customWidth="1"/>
    <col min="14084" max="14084" width="9.6640625" customWidth="1"/>
    <col min="14085" max="14085" width="8.6640625" customWidth="1"/>
    <col min="14086" max="14086" width="9.6640625" customWidth="1"/>
    <col min="14087" max="14087" width="8.6640625" customWidth="1"/>
    <col min="14088" max="14088" width="9.6640625" customWidth="1"/>
    <col min="14089" max="14089" width="8.6640625" customWidth="1"/>
    <col min="14090" max="14090" width="9.6640625" customWidth="1"/>
    <col min="14091" max="14091" width="8.44140625" customWidth="1"/>
    <col min="14337" max="14337" width="20.44140625" bestFit="1" customWidth="1"/>
    <col min="14338" max="14339" width="7.6640625" customWidth="1"/>
    <col min="14340" max="14340" width="9.6640625" customWidth="1"/>
    <col min="14341" max="14341" width="8.6640625" customWidth="1"/>
    <col min="14342" max="14342" width="9.6640625" customWidth="1"/>
    <col min="14343" max="14343" width="8.6640625" customWidth="1"/>
    <col min="14344" max="14344" width="9.6640625" customWidth="1"/>
    <col min="14345" max="14345" width="8.6640625" customWidth="1"/>
    <col min="14346" max="14346" width="9.6640625" customWidth="1"/>
    <col min="14347" max="14347" width="8.44140625" customWidth="1"/>
    <col min="14593" max="14593" width="20.44140625" bestFit="1" customWidth="1"/>
    <col min="14594" max="14595" width="7.6640625" customWidth="1"/>
    <col min="14596" max="14596" width="9.6640625" customWidth="1"/>
    <col min="14597" max="14597" width="8.6640625" customWidth="1"/>
    <col min="14598" max="14598" width="9.6640625" customWidth="1"/>
    <col min="14599" max="14599" width="8.6640625" customWidth="1"/>
    <col min="14600" max="14600" width="9.6640625" customWidth="1"/>
    <col min="14601" max="14601" width="8.6640625" customWidth="1"/>
    <col min="14602" max="14602" width="9.6640625" customWidth="1"/>
    <col min="14603" max="14603" width="8.44140625" customWidth="1"/>
    <col min="14849" max="14849" width="20.44140625" bestFit="1" customWidth="1"/>
    <col min="14850" max="14851" width="7.6640625" customWidth="1"/>
    <col min="14852" max="14852" width="9.6640625" customWidth="1"/>
    <col min="14853" max="14853" width="8.6640625" customWidth="1"/>
    <col min="14854" max="14854" width="9.6640625" customWidth="1"/>
    <col min="14855" max="14855" width="8.6640625" customWidth="1"/>
    <col min="14856" max="14856" width="9.6640625" customWidth="1"/>
    <col min="14857" max="14857" width="8.6640625" customWidth="1"/>
    <col min="14858" max="14858" width="9.6640625" customWidth="1"/>
    <col min="14859" max="14859" width="8.44140625" customWidth="1"/>
    <col min="15105" max="15105" width="20.44140625" bestFit="1" customWidth="1"/>
    <col min="15106" max="15107" width="7.6640625" customWidth="1"/>
    <col min="15108" max="15108" width="9.6640625" customWidth="1"/>
    <col min="15109" max="15109" width="8.6640625" customWidth="1"/>
    <col min="15110" max="15110" width="9.6640625" customWidth="1"/>
    <col min="15111" max="15111" width="8.6640625" customWidth="1"/>
    <col min="15112" max="15112" width="9.6640625" customWidth="1"/>
    <col min="15113" max="15113" width="8.6640625" customWidth="1"/>
    <col min="15114" max="15114" width="9.6640625" customWidth="1"/>
    <col min="15115" max="15115" width="8.44140625" customWidth="1"/>
    <col min="15361" max="15361" width="20.44140625" bestFit="1" customWidth="1"/>
    <col min="15362" max="15363" width="7.6640625" customWidth="1"/>
    <col min="15364" max="15364" width="9.6640625" customWidth="1"/>
    <col min="15365" max="15365" width="8.6640625" customWidth="1"/>
    <col min="15366" max="15366" width="9.6640625" customWidth="1"/>
    <col min="15367" max="15367" width="8.6640625" customWidth="1"/>
    <col min="15368" max="15368" width="9.6640625" customWidth="1"/>
    <col min="15369" max="15369" width="8.6640625" customWidth="1"/>
    <col min="15370" max="15370" width="9.6640625" customWidth="1"/>
    <col min="15371" max="15371" width="8.44140625" customWidth="1"/>
    <col min="15617" max="15617" width="20.44140625" bestFit="1" customWidth="1"/>
    <col min="15618" max="15619" width="7.6640625" customWidth="1"/>
    <col min="15620" max="15620" width="9.6640625" customWidth="1"/>
    <col min="15621" max="15621" width="8.6640625" customWidth="1"/>
    <col min="15622" max="15622" width="9.6640625" customWidth="1"/>
    <col min="15623" max="15623" width="8.6640625" customWidth="1"/>
    <col min="15624" max="15624" width="9.6640625" customWidth="1"/>
    <col min="15625" max="15625" width="8.6640625" customWidth="1"/>
    <col min="15626" max="15626" width="9.6640625" customWidth="1"/>
    <col min="15627" max="15627" width="8.44140625" customWidth="1"/>
    <col min="15873" max="15873" width="20.44140625" bestFit="1" customWidth="1"/>
    <col min="15874" max="15875" width="7.6640625" customWidth="1"/>
    <col min="15876" max="15876" width="9.6640625" customWidth="1"/>
    <col min="15877" max="15877" width="8.6640625" customWidth="1"/>
    <col min="15878" max="15878" width="9.6640625" customWidth="1"/>
    <col min="15879" max="15879" width="8.6640625" customWidth="1"/>
    <col min="15880" max="15880" width="9.6640625" customWidth="1"/>
    <col min="15881" max="15881" width="8.6640625" customWidth="1"/>
    <col min="15882" max="15882" width="9.6640625" customWidth="1"/>
    <col min="15883" max="15883" width="8.44140625" customWidth="1"/>
    <col min="16129" max="16129" width="20.44140625" bestFit="1" customWidth="1"/>
    <col min="16130" max="16131" width="7.6640625" customWidth="1"/>
    <col min="16132" max="16132" width="9.6640625" customWidth="1"/>
    <col min="16133" max="16133" width="8.6640625" customWidth="1"/>
    <col min="16134" max="16134" width="9.6640625" customWidth="1"/>
    <col min="16135" max="16135" width="8.6640625" customWidth="1"/>
    <col min="16136" max="16136" width="9.6640625" customWidth="1"/>
    <col min="16137" max="16137" width="8.6640625" customWidth="1"/>
    <col min="16138" max="16138" width="9.6640625" customWidth="1"/>
    <col min="16139" max="16139" width="8.44140625" customWidth="1"/>
  </cols>
  <sheetData>
    <row r="1" spans="1:15" x14ac:dyDescent="0.3">
      <c r="A1" s="24" t="s">
        <v>32</v>
      </c>
      <c r="B1" s="115" t="s">
        <v>135</v>
      </c>
      <c r="C1" s="25"/>
      <c r="D1" s="26" t="s">
        <v>115</v>
      </c>
      <c r="E1" s="26" t="s">
        <v>19</v>
      </c>
      <c r="F1" s="26" t="s">
        <v>115</v>
      </c>
      <c r="G1" s="26" t="s">
        <v>20</v>
      </c>
      <c r="H1" s="26" t="s">
        <v>115</v>
      </c>
      <c r="I1" s="26" t="s">
        <v>21</v>
      </c>
      <c r="J1" s="26" t="s">
        <v>115</v>
      </c>
      <c r="K1" s="26" t="s">
        <v>22</v>
      </c>
      <c r="L1" s="26" t="s">
        <v>115</v>
      </c>
      <c r="M1" s="26" t="s">
        <v>23</v>
      </c>
      <c r="N1" s="26"/>
      <c r="O1" s="26" t="s">
        <v>24</v>
      </c>
    </row>
    <row r="2" spans="1:15" x14ac:dyDescent="0.3">
      <c r="A2" t="s">
        <v>33</v>
      </c>
      <c r="B2" s="28"/>
      <c r="C2" s="28"/>
      <c r="D2" s="29">
        <f>MODULO!$J$7</f>
        <v>0</v>
      </c>
      <c r="E2" s="30">
        <f>MODULO!$J$11</f>
        <v>0</v>
      </c>
      <c r="F2" s="29">
        <f>MODULO!$Q$7</f>
        <v>0</v>
      </c>
      <c r="G2" s="30">
        <f>MODULO!$Q$11</f>
        <v>0</v>
      </c>
      <c r="H2" s="29">
        <f>MODULO!$X$7</f>
        <v>0</v>
      </c>
      <c r="I2" s="30">
        <f>MODULO!$X$11</f>
        <v>0</v>
      </c>
      <c r="J2" s="29">
        <f>MODULO!$AE$7</f>
        <v>0</v>
      </c>
      <c r="K2" s="30">
        <f>MODULO!$AE$11</f>
        <v>0</v>
      </c>
      <c r="L2" s="29">
        <f>MODULO!$AL$7</f>
        <v>0</v>
      </c>
      <c r="M2" s="30">
        <f>MODULO!$AL$11</f>
        <v>0</v>
      </c>
      <c r="N2" s="29"/>
      <c r="O2" s="30"/>
    </row>
    <row r="3" spans="1:15" x14ac:dyDescent="0.3">
      <c r="B3" s="28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3">
      <c r="A4" t="s">
        <v>34</v>
      </c>
      <c r="B4" s="28">
        <v>10</v>
      </c>
      <c r="C4" s="28"/>
      <c r="D4" s="29"/>
      <c r="E4" s="29">
        <f>$B$4</f>
        <v>10</v>
      </c>
      <c r="F4" s="29"/>
      <c r="G4" s="29">
        <f>$B$4</f>
        <v>10</v>
      </c>
      <c r="H4" s="29"/>
      <c r="I4" s="29">
        <f>$B$4</f>
        <v>10</v>
      </c>
      <c r="J4" s="29"/>
      <c r="K4" s="29">
        <f>$B$4</f>
        <v>10</v>
      </c>
      <c r="L4" s="29"/>
      <c r="M4" s="29">
        <f>$B$4</f>
        <v>10</v>
      </c>
      <c r="N4" s="29"/>
      <c r="O4" s="29">
        <f>$B$4</f>
        <v>10</v>
      </c>
    </row>
    <row r="5" spans="1:15" x14ac:dyDescent="0.3">
      <c r="A5" t="s">
        <v>35</v>
      </c>
      <c r="B5" s="28">
        <v>19.829999999999998</v>
      </c>
      <c r="C5" s="28"/>
      <c r="D5" s="29"/>
      <c r="E5" s="29">
        <f>$B$5/4300*$E$2</f>
        <v>0</v>
      </c>
      <c r="F5" s="29"/>
      <c r="G5" s="29">
        <f>$B$5/4300*$G$2</f>
        <v>0</v>
      </c>
      <c r="H5" s="29"/>
      <c r="I5" s="29">
        <f>$B$5/4300*I$2</f>
        <v>0</v>
      </c>
      <c r="J5" s="29"/>
      <c r="K5" s="29">
        <f>$B$5/4300*K2</f>
        <v>0</v>
      </c>
      <c r="L5" s="29"/>
      <c r="M5" s="29">
        <f>$B$5/4300*M$2</f>
        <v>0</v>
      </c>
      <c r="N5" s="29"/>
      <c r="O5" s="29">
        <f>$B$5/4300*O2</f>
        <v>0</v>
      </c>
    </row>
    <row r="6" spans="1:15" x14ac:dyDescent="0.3">
      <c r="A6" t="s">
        <v>36</v>
      </c>
      <c r="B6" s="28">
        <v>8.6300000000000008</v>
      </c>
      <c r="C6" s="28"/>
      <c r="D6" s="29"/>
      <c r="E6" s="29">
        <f>$B$6/3000*$E$2</f>
        <v>0</v>
      </c>
      <c r="F6" s="29"/>
      <c r="G6" s="29">
        <f>$B$6/3000*$G$2</f>
        <v>0</v>
      </c>
      <c r="H6" s="29"/>
      <c r="I6" s="29">
        <f>$B$6/3000*I$2</f>
        <v>0</v>
      </c>
      <c r="J6" s="29"/>
      <c r="K6" s="29">
        <f>$B$6/3000*K2</f>
        <v>0</v>
      </c>
      <c r="L6" s="29"/>
      <c r="M6" s="29">
        <f>$B$6/3000*M$2</f>
        <v>0</v>
      </c>
      <c r="N6" s="29"/>
      <c r="O6" s="29">
        <f>$B$6/3000*O2</f>
        <v>0</v>
      </c>
    </row>
    <row r="7" spans="1:15" x14ac:dyDescent="0.3">
      <c r="A7" t="s">
        <v>37</v>
      </c>
      <c r="B7" s="28">
        <v>4.2699999999999996</v>
      </c>
      <c r="C7" s="104"/>
      <c r="D7" s="29"/>
      <c r="E7" s="29">
        <f>IF(MODULO!$J$9="SI",$B$7,0)</f>
        <v>0</v>
      </c>
      <c r="F7" s="29"/>
      <c r="G7" s="29">
        <f>IF(MODULO!$Q$9="SI",$B$7,0)</f>
        <v>0</v>
      </c>
      <c r="H7" s="29"/>
      <c r="I7" s="29">
        <f>IF(MODULO!$X$9="SI",$B$7,0)</f>
        <v>0</v>
      </c>
      <c r="J7" s="29"/>
      <c r="K7" s="29">
        <f>IF(MODULO!$AE$9="SI",$B$7,0)</f>
        <v>0</v>
      </c>
      <c r="L7" s="29"/>
      <c r="M7" s="29">
        <f>IF(MODULO!$AL$9="SI",$B$7,0)</f>
        <v>0</v>
      </c>
      <c r="N7" s="29"/>
      <c r="O7" s="29">
        <f>$B$7</f>
        <v>4.2699999999999996</v>
      </c>
    </row>
    <row r="8" spans="1:15" x14ac:dyDescent="0.3">
      <c r="B8" s="28"/>
      <c r="C8" s="28"/>
      <c r="D8" s="26" t="s">
        <v>38</v>
      </c>
      <c r="E8" s="26"/>
      <c r="F8" s="26" t="s">
        <v>38</v>
      </c>
      <c r="G8" s="26"/>
      <c r="H8" s="26" t="s">
        <v>38</v>
      </c>
      <c r="I8" s="26"/>
      <c r="J8" s="26" t="s">
        <v>38</v>
      </c>
      <c r="K8" s="26"/>
      <c r="L8" s="26" t="s">
        <v>38</v>
      </c>
      <c r="M8" s="26"/>
      <c r="N8" s="26" t="s">
        <v>38</v>
      </c>
      <c r="O8" s="26"/>
    </row>
    <row r="9" spans="1:15" x14ac:dyDescent="0.3">
      <c r="A9" t="s">
        <v>39</v>
      </c>
      <c r="B9" s="28">
        <v>1.65</v>
      </c>
      <c r="C9" s="28"/>
      <c r="D9" s="31">
        <f>IF(MODULO!$J$10="CAVO",1,0)</f>
        <v>0</v>
      </c>
      <c r="E9" s="29">
        <f>$B$9*$D$9</f>
        <v>0</v>
      </c>
      <c r="F9" s="31">
        <f>IF(MODULO!$Q$10="CAVO",1,0)</f>
        <v>0</v>
      </c>
      <c r="G9" s="29">
        <f>B9*F9</f>
        <v>0</v>
      </c>
      <c r="H9" s="31">
        <f>IF(MODULO!$X$10="CAVO",1,0)</f>
        <v>0</v>
      </c>
      <c r="I9" s="29">
        <f>H9*$B$9</f>
        <v>0</v>
      </c>
      <c r="J9" s="31">
        <f>IF(MODULO!$AE$10="CAVO",1,0)</f>
        <v>0</v>
      </c>
      <c r="K9" s="29">
        <f>$B$9*J9</f>
        <v>0</v>
      </c>
      <c r="L9" s="31">
        <f>IF(MODULO!$AL$10="CAVO",1,0)</f>
        <v>0</v>
      </c>
      <c r="M9" s="29">
        <f>L9*$B$9</f>
        <v>0</v>
      </c>
      <c r="N9" s="31"/>
      <c r="O9" s="29">
        <f>$B$9*N9</f>
        <v>0</v>
      </c>
    </row>
    <row r="10" spans="1:15" x14ac:dyDescent="0.3">
      <c r="A10" t="s">
        <v>40</v>
      </c>
      <c r="B10" s="28">
        <v>1.17</v>
      </c>
      <c r="C10" s="28"/>
      <c r="D10" s="31">
        <f>IF(MODULO!$L$14&lt;&gt;"",MODULO!$L$14/D2,0)</f>
        <v>0</v>
      </c>
      <c r="E10" s="29">
        <f>$B$10*$D$10</f>
        <v>0</v>
      </c>
      <c r="F10" s="31">
        <f>IF(MODULO!$S$14&lt;&gt;"",MODULO!$S$14/F2,0)</f>
        <v>0</v>
      </c>
      <c r="G10" s="29">
        <f>B10*F10</f>
        <v>0</v>
      </c>
      <c r="H10" s="31">
        <f>IF(MODULO!$Z$14&lt;&gt;"",MODULO!$Z$14/H2,0)</f>
        <v>0</v>
      </c>
      <c r="I10" s="29">
        <f>H10*$B$10</f>
        <v>0</v>
      </c>
      <c r="J10" s="31">
        <f>IF(MODULO!$AG$14&lt;&gt;"",MODULO!$AG$14/J2,0)</f>
        <v>0</v>
      </c>
      <c r="K10" s="29">
        <f>$B$10*J10</f>
        <v>0</v>
      </c>
      <c r="L10" s="31">
        <f>IF(MODULO!$AN$14&lt;&gt;"",MODULO!$AN$14/L2,0)</f>
        <v>0</v>
      </c>
      <c r="M10" s="29">
        <f>L10*$B$10</f>
        <v>0</v>
      </c>
      <c r="N10" s="31"/>
      <c r="O10" s="29">
        <f>$B$10*N10</f>
        <v>0</v>
      </c>
    </row>
    <row r="11" spans="1:15" x14ac:dyDescent="0.3">
      <c r="A11" t="s">
        <v>41</v>
      </c>
      <c r="B11" s="28">
        <v>9.7799999999999994</v>
      </c>
      <c r="C11" s="28"/>
      <c r="D11" s="31">
        <f>IF(MODULO!$J$10="TOUCH INTEGRATO",1,0)</f>
        <v>0</v>
      </c>
      <c r="E11" s="29">
        <f>$B$11*$D$11</f>
        <v>0</v>
      </c>
      <c r="F11" s="31">
        <f>IF(MODULO!$Q$10="TOUCH INTEGRATO",1,0)</f>
        <v>0</v>
      </c>
      <c r="G11" s="29">
        <f>B11*F11</f>
        <v>0</v>
      </c>
      <c r="H11" s="31">
        <f>IF(MODULO!$X$10="TOUCH INTEGRATO",1,0)</f>
        <v>0</v>
      </c>
      <c r="I11" s="29">
        <f>H11*$B$11</f>
        <v>0</v>
      </c>
      <c r="J11" s="31">
        <f>IF(MODULO!$AE$10="TOUCH INTEGRATO",1,0)</f>
        <v>0</v>
      </c>
      <c r="K11" s="29">
        <f>$B$11*J11</f>
        <v>0</v>
      </c>
      <c r="L11" s="31">
        <f>IF(MODULO!$AL$10="TOUCH INTEGRATO",1,0)</f>
        <v>0</v>
      </c>
      <c r="M11" s="29">
        <f>L11*$B$11</f>
        <v>0</v>
      </c>
      <c r="N11" s="31"/>
      <c r="O11" s="29">
        <f>$B$11*N11</f>
        <v>0</v>
      </c>
    </row>
    <row r="12" spans="1:15" x14ac:dyDescent="0.3">
      <c r="A12" t="s">
        <v>42</v>
      </c>
      <c r="B12" s="28">
        <v>11.97</v>
      </c>
      <c r="C12" s="28"/>
      <c r="D12" s="31">
        <f>IF(MODULO!$J$10="IR INTEGRATO",1,0)</f>
        <v>0</v>
      </c>
      <c r="E12" s="29">
        <f>$B$12*$D$12</f>
        <v>0</v>
      </c>
      <c r="F12" s="31">
        <f>IF(MODULO!$Q$10="IR INTEGRATO",1,0)</f>
        <v>0</v>
      </c>
      <c r="G12" s="29">
        <f>B12*F12</f>
        <v>0</v>
      </c>
      <c r="H12" s="31">
        <f>IF(MODULO!$X$10="IR INTEGRATO",1,0)</f>
        <v>0</v>
      </c>
      <c r="I12" s="29">
        <f>H12*$B$12</f>
        <v>0</v>
      </c>
      <c r="J12" s="31">
        <f>IF(MODULO!$AE$10="IR INTEGRATO",1,0)</f>
        <v>0</v>
      </c>
      <c r="K12" s="29">
        <f>$B$12*J12</f>
        <v>0</v>
      </c>
      <c r="L12" s="31">
        <f>IF(MODULO!$AL$10="IR INTEGRATO",1,0)</f>
        <v>0</v>
      </c>
      <c r="M12" s="29">
        <f>L12*$B$12</f>
        <v>0</v>
      </c>
      <c r="N12" s="31"/>
      <c r="O12" s="29">
        <f>$B$12*N12</f>
        <v>0</v>
      </c>
    </row>
    <row r="13" spans="1:15" x14ac:dyDescent="0.3">
      <c r="A13" t="s">
        <v>116</v>
      </c>
      <c r="B13" s="28">
        <v>32.03</v>
      </c>
      <c r="C13" s="28"/>
      <c r="D13" s="31">
        <f>IF(MODULO!$J$10="PIR INTEGRATO",1,0)</f>
        <v>0</v>
      </c>
      <c r="E13" s="29">
        <f>$B$13*$D$13</f>
        <v>0</v>
      </c>
      <c r="F13" s="31">
        <f>IF(MODULO!$Q$10="PIR INTEGRATO",1,0)</f>
        <v>0</v>
      </c>
      <c r="G13" s="29">
        <f>B13*F13</f>
        <v>0</v>
      </c>
      <c r="H13" s="31">
        <f>IF(MODULO!$X$10="PIR INTEGRATO",1,0)</f>
        <v>0</v>
      </c>
      <c r="I13" s="29">
        <f>H13*$B$13</f>
        <v>0</v>
      </c>
      <c r="J13" s="31">
        <f>IF(MODULO!$AE$10="PIR INTEGRATO",1,0)</f>
        <v>0</v>
      </c>
      <c r="K13" s="29">
        <f>$B$13*J13</f>
        <v>0</v>
      </c>
      <c r="L13" s="31">
        <f>IF(MODULO!$AL$10="PIR INTEGRATO",1,0)</f>
        <v>0</v>
      </c>
      <c r="M13" s="29">
        <f>L13*$B$13</f>
        <v>0</v>
      </c>
      <c r="N13" s="31"/>
      <c r="O13" s="29">
        <f>$B$13*N13</f>
        <v>0</v>
      </c>
    </row>
    <row r="14" spans="1:15" x14ac:dyDescent="0.3">
      <c r="B14" s="28"/>
      <c r="C14" s="2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x14ac:dyDescent="0.3">
      <c r="B15" s="28"/>
      <c r="C15" s="28"/>
      <c r="D15" s="29"/>
      <c r="E15" s="316" t="s">
        <v>43</v>
      </c>
      <c r="F15" s="316"/>
      <c r="G15" s="316"/>
      <c r="H15" s="316"/>
      <c r="I15" s="316"/>
      <c r="J15" s="316"/>
      <c r="K15" s="316"/>
      <c r="L15" s="27"/>
      <c r="M15"/>
      <c r="N15"/>
      <c r="O15"/>
    </row>
    <row r="16" spans="1:15" x14ac:dyDescent="0.3">
      <c r="A16" s="32" t="s">
        <v>44</v>
      </c>
      <c r="B16" s="33">
        <v>48.75</v>
      </c>
      <c r="C16" s="33"/>
      <c r="D16" s="33"/>
      <c r="E16" s="34">
        <f>(B16/5000*E2)+SUM(E4:E13)</f>
        <v>10</v>
      </c>
      <c r="F16" s="33"/>
      <c r="G16" s="34">
        <f>(B16/5000*G2)+SUM(G4:G13)</f>
        <v>10</v>
      </c>
      <c r="H16" s="33"/>
      <c r="I16" s="34">
        <f>($B$16/5000*I2)+SUM(I4:I13)</f>
        <v>10</v>
      </c>
      <c r="J16" s="33"/>
      <c r="K16" s="34">
        <f>($B$16/5000*K2)+SUM(K4:K13)</f>
        <v>10</v>
      </c>
      <c r="L16" s="33"/>
      <c r="M16" s="34">
        <f>($B$16/5000*M2)+SUM(M4:M13)</f>
        <v>10</v>
      </c>
      <c r="N16" s="33"/>
      <c r="O16" s="34">
        <f>($B$16/5000*O2)+SUM(O4:O13)</f>
        <v>14.27</v>
      </c>
    </row>
    <row r="17" spans="1:22" x14ac:dyDescent="0.3">
      <c r="A17" s="35" t="s">
        <v>45</v>
      </c>
      <c r="B17" s="28">
        <v>7.8</v>
      </c>
      <c r="C17" s="28"/>
      <c r="D17" s="29"/>
      <c r="E17" s="36">
        <f>B17/1000*E2</f>
        <v>0</v>
      </c>
      <c r="F17" s="29"/>
      <c r="G17" s="36">
        <f>B17/1000*G2</f>
        <v>0</v>
      </c>
      <c r="H17" s="29"/>
      <c r="I17" s="36">
        <f>$B$17/1000*I2</f>
        <v>0</v>
      </c>
      <c r="J17" s="29"/>
      <c r="K17" s="36">
        <f>$B$17/1000*K2</f>
        <v>0</v>
      </c>
      <c r="L17" s="29"/>
      <c r="M17" s="36">
        <f>$B$17/1000*M2</f>
        <v>0</v>
      </c>
      <c r="N17" s="29"/>
      <c r="O17" s="36">
        <f>$B$17/1000*O2</f>
        <v>0</v>
      </c>
    </row>
    <row r="18" spans="1:22" x14ac:dyDescent="0.3">
      <c r="A18" s="37" t="s">
        <v>46</v>
      </c>
      <c r="B18" s="38">
        <v>71.680000000000007</v>
      </c>
      <c r="C18" s="38"/>
      <c r="D18" s="39"/>
      <c r="E18" s="40">
        <f>(B18/5000*E2)+SUM(E4:E13)</f>
        <v>10</v>
      </c>
      <c r="F18" s="39"/>
      <c r="G18" s="40">
        <f>(B18/5000*G2)+SUM(G4:G13)</f>
        <v>10</v>
      </c>
      <c r="H18" s="39"/>
      <c r="I18" s="40">
        <f>($B$18/5000*I2)+SUM(I4:I13)</f>
        <v>10</v>
      </c>
      <c r="J18" s="39"/>
      <c r="K18" s="41">
        <f>($B$18/5000*K2)+SUM(K4:K13)</f>
        <v>10</v>
      </c>
      <c r="L18" s="39"/>
      <c r="M18" s="40">
        <f>($B$18/5000*M2)+SUM(M4:M13)</f>
        <v>10</v>
      </c>
      <c r="N18" s="39"/>
      <c r="O18" s="41">
        <f>($B$18/5000*O2)+SUM(O4:O13)</f>
        <v>14.27</v>
      </c>
    </row>
    <row r="19" spans="1:22" x14ac:dyDescent="0.3">
      <c r="A19" s="35" t="s">
        <v>45</v>
      </c>
      <c r="B19" s="28">
        <v>11.8</v>
      </c>
      <c r="C19" s="28"/>
      <c r="D19" s="29"/>
      <c r="E19" s="36">
        <f>B19/1000*E2</f>
        <v>0</v>
      </c>
      <c r="F19" s="29"/>
      <c r="G19" s="36">
        <f>B19/1000*G2</f>
        <v>0</v>
      </c>
      <c r="H19" s="29"/>
      <c r="I19" s="36">
        <f>$B$19/1000*I2</f>
        <v>0</v>
      </c>
      <c r="J19" s="29"/>
      <c r="K19" s="36">
        <f>$B$19/1000*K2</f>
        <v>0</v>
      </c>
      <c r="L19" s="29"/>
      <c r="M19" s="36">
        <f>$B$19/1000*M2</f>
        <v>0</v>
      </c>
      <c r="N19" s="29"/>
      <c r="O19" s="36">
        <f>$B$19/1000*O2</f>
        <v>0</v>
      </c>
    </row>
    <row r="20" spans="1:22" x14ac:dyDescent="0.3">
      <c r="A20" s="32" t="s">
        <v>47</v>
      </c>
      <c r="B20" s="42">
        <v>84.8</v>
      </c>
      <c r="C20" s="42"/>
      <c r="D20" s="42"/>
      <c r="E20" s="34">
        <f>(B20/5000*E2)+SUM(E4:E13)</f>
        <v>10</v>
      </c>
      <c r="F20" s="42"/>
      <c r="G20" s="34">
        <f>(B20/5000*G2)+SUM(G4:G13)</f>
        <v>10</v>
      </c>
      <c r="H20" s="42"/>
      <c r="I20" s="34">
        <f>($B$20/5000*I2)+SUM(I4:I13)</f>
        <v>10</v>
      </c>
      <c r="J20" s="42"/>
      <c r="K20" s="34">
        <f>($B$20/5000*K2)+SUM(K4:K13)</f>
        <v>10</v>
      </c>
      <c r="L20" s="42"/>
      <c r="M20" s="34">
        <f>($B$20/5000*M2)+SUM(M4:M13)</f>
        <v>10</v>
      </c>
      <c r="N20" s="42"/>
      <c r="O20" s="34">
        <f>($B$20/5000*O2)+SUM(O4:O13)</f>
        <v>14.27</v>
      </c>
    </row>
    <row r="21" spans="1:22" s="45" customFormat="1" x14ac:dyDescent="0.3">
      <c r="A21" s="35" t="s">
        <v>45</v>
      </c>
      <c r="B21" s="43">
        <v>16.899999999999999</v>
      </c>
      <c r="C21" s="43"/>
      <c r="D21" s="44"/>
      <c r="E21" s="36">
        <f>B21/1000*E2</f>
        <v>0</v>
      </c>
      <c r="F21" s="44"/>
      <c r="G21" s="36">
        <f>B21/1000*G2</f>
        <v>0</v>
      </c>
      <c r="H21" s="44"/>
      <c r="I21" s="36">
        <f>$B$21/1000*I2</f>
        <v>0</v>
      </c>
      <c r="J21" s="44"/>
      <c r="K21" s="36">
        <f>$B$21/1000*K2</f>
        <v>0</v>
      </c>
      <c r="L21" s="44"/>
      <c r="M21" s="36">
        <f>$B$21/1000*M2</f>
        <v>0</v>
      </c>
      <c r="N21" s="44"/>
      <c r="O21" s="36">
        <f>$B$21/1000*O2</f>
        <v>0</v>
      </c>
    </row>
    <row r="22" spans="1:22" x14ac:dyDescent="0.3">
      <c r="A22" s="46"/>
      <c r="B22" s="28"/>
      <c r="C22" s="28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22" s="47" customFormat="1" x14ac:dyDescent="0.3">
      <c r="B23" s="48"/>
      <c r="C23" s="48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</row>
    <row r="24" spans="1:22" x14ac:dyDescent="0.3">
      <c r="A24" s="24" t="s">
        <v>48</v>
      </c>
      <c r="B24" s="25"/>
      <c r="C24" s="25"/>
      <c r="D24" s="26" t="s">
        <v>115</v>
      </c>
      <c r="E24" s="26" t="s">
        <v>19</v>
      </c>
      <c r="F24" s="26" t="s">
        <v>115</v>
      </c>
      <c r="G24" s="26" t="s">
        <v>20</v>
      </c>
      <c r="H24" s="26" t="s">
        <v>115</v>
      </c>
      <c r="I24" s="26" t="s">
        <v>21</v>
      </c>
      <c r="J24" s="26" t="s">
        <v>115</v>
      </c>
      <c r="K24" s="26" t="s">
        <v>22</v>
      </c>
      <c r="L24" s="26" t="s">
        <v>115</v>
      </c>
      <c r="M24" s="26" t="s">
        <v>23</v>
      </c>
      <c r="N24" s="26"/>
      <c r="O24" s="26" t="s">
        <v>24</v>
      </c>
      <c r="P24" s="26"/>
      <c r="Q24" s="26"/>
      <c r="R24" s="26"/>
      <c r="S24" s="26"/>
      <c r="T24" s="26"/>
      <c r="U24" s="26"/>
      <c r="V24" s="26"/>
    </row>
    <row r="25" spans="1:22" x14ac:dyDescent="0.3">
      <c r="A25" t="s">
        <v>33</v>
      </c>
      <c r="B25" s="28"/>
      <c r="C25" s="28"/>
      <c r="D25" s="29">
        <f>MODULO!$J$7</f>
        <v>0</v>
      </c>
      <c r="E25" s="30">
        <f>MODULO!$J$11</f>
        <v>0</v>
      </c>
      <c r="F25" s="29">
        <f>MODULO!$Q$7</f>
        <v>0</v>
      </c>
      <c r="G25" s="30">
        <f>MODULO!$Q$11</f>
        <v>0</v>
      </c>
      <c r="H25" s="29">
        <f>MODULO!$X$7</f>
        <v>0</v>
      </c>
      <c r="I25" s="30">
        <f>MODULO!$X$11</f>
        <v>0</v>
      </c>
      <c r="J25" s="29">
        <f>MODULO!$AE$7</f>
        <v>0</v>
      </c>
      <c r="K25" s="30">
        <f>MODULO!$AE$11</f>
        <v>0</v>
      </c>
      <c r="L25" s="29">
        <f>MODULO!$AL$7</f>
        <v>0</v>
      </c>
      <c r="M25" s="30">
        <f>MODULO!$AL$11</f>
        <v>0</v>
      </c>
      <c r="N25" s="29"/>
      <c r="O25" s="30"/>
      <c r="P25" s="51"/>
      <c r="Q25" s="50"/>
      <c r="R25" s="51"/>
      <c r="S25" s="50"/>
      <c r="T25" s="51"/>
      <c r="U25" s="50"/>
      <c r="V25" s="51"/>
    </row>
    <row r="26" spans="1:22" x14ac:dyDescent="0.3">
      <c r="B26" s="28"/>
      <c r="C26" s="28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51"/>
      <c r="Q26" s="50"/>
      <c r="R26" s="51"/>
      <c r="S26" s="50"/>
      <c r="T26" s="51"/>
      <c r="U26" s="50"/>
      <c r="V26" s="51"/>
    </row>
    <row r="27" spans="1:22" x14ac:dyDescent="0.3">
      <c r="B27" s="28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50"/>
      <c r="Q27" s="50"/>
      <c r="R27" s="50"/>
      <c r="S27" s="50"/>
      <c r="T27" s="50"/>
      <c r="U27" s="50"/>
      <c r="V27" s="50"/>
    </row>
    <row r="28" spans="1:22" x14ac:dyDescent="0.3">
      <c r="A28" t="s">
        <v>34</v>
      </c>
      <c r="B28" s="28">
        <v>10</v>
      </c>
      <c r="C28" s="28"/>
      <c r="D28" s="29"/>
      <c r="E28" s="29">
        <f>B28</f>
        <v>10</v>
      </c>
      <c r="F28" s="29"/>
      <c r="G28" s="29">
        <f>B28</f>
        <v>10</v>
      </c>
      <c r="H28" s="29"/>
      <c r="I28" s="29">
        <f>$B$28</f>
        <v>10</v>
      </c>
      <c r="J28" s="29"/>
      <c r="K28" s="29">
        <f>$B$28</f>
        <v>10</v>
      </c>
      <c r="L28" s="29"/>
      <c r="M28" s="29">
        <f>$B$28</f>
        <v>10</v>
      </c>
      <c r="N28" s="29"/>
      <c r="O28" s="29">
        <f>$B$28</f>
        <v>10</v>
      </c>
      <c r="P28" s="50"/>
      <c r="Q28" s="50"/>
      <c r="R28" s="50"/>
      <c r="S28" s="50"/>
      <c r="T28" s="50"/>
      <c r="U28" s="50"/>
      <c r="V28" s="50"/>
    </row>
    <row r="29" spans="1:22" x14ac:dyDescent="0.3">
      <c r="A29" t="s">
        <v>35</v>
      </c>
      <c r="B29" s="28">
        <v>19.829999999999998</v>
      </c>
      <c r="C29" s="28"/>
      <c r="D29" s="29"/>
      <c r="E29" s="29">
        <f>B29/4300*E25</f>
        <v>0</v>
      </c>
      <c r="F29" s="29"/>
      <c r="G29" s="29">
        <f>B29/4300*G25</f>
        <v>0</v>
      </c>
      <c r="H29" s="29"/>
      <c r="I29" s="29">
        <f>$B$29/4300*I25</f>
        <v>0</v>
      </c>
      <c r="J29" s="29"/>
      <c r="K29" s="29">
        <f>$B$29/4300*K25</f>
        <v>0</v>
      </c>
      <c r="L29" s="29"/>
      <c r="M29" s="29">
        <f>$B$29/4300*M25</f>
        <v>0</v>
      </c>
      <c r="N29" s="29"/>
      <c r="O29" s="29">
        <f>$B$29/4300*O25</f>
        <v>0</v>
      </c>
      <c r="P29" s="50"/>
      <c r="Q29" s="50"/>
      <c r="R29" s="50"/>
      <c r="S29" s="50"/>
      <c r="T29" s="50"/>
      <c r="U29" s="50"/>
      <c r="V29" s="50"/>
    </row>
    <row r="30" spans="1:22" x14ac:dyDescent="0.3">
      <c r="A30" t="s">
        <v>36</v>
      </c>
      <c r="B30" s="28">
        <v>12.34</v>
      </c>
      <c r="C30" s="28"/>
      <c r="D30" s="29"/>
      <c r="E30" s="29">
        <f>B30/3000*E25</f>
        <v>0</v>
      </c>
      <c r="F30" s="29"/>
      <c r="G30" s="29">
        <f>B30/3000*G25</f>
        <v>0</v>
      </c>
      <c r="H30" s="29"/>
      <c r="I30" s="29">
        <f>$B$30/3000*I25</f>
        <v>0</v>
      </c>
      <c r="J30" s="29"/>
      <c r="K30" s="29">
        <f>$B$30/3000*K25</f>
        <v>0</v>
      </c>
      <c r="L30" s="29"/>
      <c r="M30" s="29">
        <f>$B$30/3000*M25</f>
        <v>0</v>
      </c>
      <c r="N30" s="29"/>
      <c r="O30" s="29">
        <f>$B$30/3000*O25</f>
        <v>0</v>
      </c>
      <c r="P30" s="50"/>
      <c r="Q30" s="50"/>
      <c r="R30" s="50"/>
      <c r="S30" s="50"/>
      <c r="T30" s="50"/>
      <c r="U30" s="50"/>
      <c r="V30" s="50"/>
    </row>
    <row r="31" spans="1:22" x14ac:dyDescent="0.3">
      <c r="B31" s="28"/>
      <c r="C31" s="28"/>
      <c r="D31" s="26" t="s">
        <v>38</v>
      </c>
      <c r="E31" s="26"/>
      <c r="F31" s="26" t="s">
        <v>38</v>
      </c>
      <c r="G31" s="26"/>
      <c r="H31" s="26" t="s">
        <v>38</v>
      </c>
      <c r="I31" s="26"/>
      <c r="J31" s="26" t="s">
        <v>38</v>
      </c>
      <c r="K31" s="26"/>
      <c r="L31" s="26" t="s">
        <v>38</v>
      </c>
      <c r="M31" s="26"/>
      <c r="N31" s="26" t="s">
        <v>38</v>
      </c>
      <c r="O31" s="26"/>
      <c r="P31" s="52"/>
      <c r="Q31" s="52"/>
      <c r="R31" s="52"/>
      <c r="S31" s="52"/>
      <c r="T31" s="52"/>
      <c r="U31" s="52"/>
      <c r="V31" s="52"/>
    </row>
    <row r="32" spans="1:22" x14ac:dyDescent="0.3">
      <c r="A32" t="s">
        <v>39</v>
      </c>
      <c r="B32" s="28">
        <v>1.65</v>
      </c>
      <c r="C32" s="28"/>
      <c r="D32" s="31">
        <f>IF(MODULO!$J$10="CAVO",1,0)</f>
        <v>0</v>
      </c>
      <c r="E32" s="29">
        <f>B32*D32</f>
        <v>0</v>
      </c>
      <c r="F32" s="31">
        <f>IF(MODULO!$Q$10="CAVO",1,0)</f>
        <v>0</v>
      </c>
      <c r="G32" s="29">
        <f>B32*F32</f>
        <v>0</v>
      </c>
      <c r="H32" s="31">
        <f>IF(MODULO!$X$10="CAVO",1,0)</f>
        <v>0</v>
      </c>
      <c r="I32" s="29">
        <f>H32*$B$32</f>
        <v>0</v>
      </c>
      <c r="J32" s="31">
        <f>IF(MODULO!$AE$10="CAVO",1,0)</f>
        <v>0</v>
      </c>
      <c r="K32" s="29">
        <f>$B$32*J32</f>
        <v>0</v>
      </c>
      <c r="L32" s="31">
        <f>IF(MODULO!$AL$10="CAVO",1,0)</f>
        <v>0</v>
      </c>
      <c r="M32" s="29">
        <f>L32*$B$32</f>
        <v>0</v>
      </c>
      <c r="N32" s="31"/>
      <c r="O32" s="29">
        <f>$B$32*N32</f>
        <v>0</v>
      </c>
      <c r="P32" s="50"/>
      <c r="Q32" s="50"/>
      <c r="R32" s="50"/>
      <c r="S32" s="50"/>
      <c r="T32" s="50"/>
      <c r="U32" s="50"/>
      <c r="V32" s="50"/>
    </row>
    <row r="33" spans="1:22" x14ac:dyDescent="0.3">
      <c r="A33" t="s">
        <v>49</v>
      </c>
      <c r="B33" s="28">
        <v>2.36</v>
      </c>
      <c r="C33" s="28"/>
      <c r="D33" s="31">
        <f>IF(MODULO!$L$14&lt;&gt;"",MODULO!$L$14/D25,0)</f>
        <v>0</v>
      </c>
      <c r="E33" s="29">
        <f>B33*D33</f>
        <v>0</v>
      </c>
      <c r="F33" s="31">
        <f>IF(MODULO!$S$14&lt;&gt;"",MODULO!$S$14/F25,0)</f>
        <v>0</v>
      </c>
      <c r="G33" s="29">
        <f>B33*F33</f>
        <v>0</v>
      </c>
      <c r="H33" s="31">
        <f>IF(MODULO!$Z$14&lt;&gt;"",MODULO!$Z$14/H25,0)</f>
        <v>0</v>
      </c>
      <c r="I33" s="29">
        <f>H33*$B$33</f>
        <v>0</v>
      </c>
      <c r="J33" s="31">
        <f>IF(MODULO!$AG$14&lt;&gt;"",MODULO!$AG$14/J25,0)</f>
        <v>0</v>
      </c>
      <c r="K33" s="29">
        <f>$B$33*J33</f>
        <v>0</v>
      </c>
      <c r="L33" s="31">
        <f>IF(MODULO!$AN$14&lt;&gt;"",MODULO!$AN$14/L25,0)</f>
        <v>0</v>
      </c>
      <c r="M33" s="29">
        <f>L33*$B$33</f>
        <v>0</v>
      </c>
      <c r="N33" s="31"/>
      <c r="O33" s="29">
        <f>$B$33*N33</f>
        <v>0</v>
      </c>
      <c r="P33" s="50"/>
      <c r="Q33" s="50"/>
      <c r="R33" s="50"/>
      <c r="S33" s="50"/>
      <c r="T33" s="50"/>
      <c r="U33" s="50"/>
      <c r="V33" s="50"/>
    </row>
    <row r="34" spans="1:22" x14ac:dyDescent="0.3">
      <c r="A34" t="s">
        <v>41</v>
      </c>
      <c r="B34" s="28">
        <v>9.7799999999999994</v>
      </c>
      <c r="C34" s="28"/>
      <c r="D34" s="31">
        <f>IF(MODULO!$J$10="TOUCH INTEGRATO",1,0)</f>
        <v>0</v>
      </c>
      <c r="E34" s="29">
        <f>B34*D34</f>
        <v>0</v>
      </c>
      <c r="F34" s="31">
        <f>IF(MODULO!$Q$10="TOUCH INTEGRATO",1,0)</f>
        <v>0</v>
      </c>
      <c r="G34" s="29">
        <f>B34*F34</f>
        <v>0</v>
      </c>
      <c r="H34" s="31">
        <f>IF(MODULO!$X$10="TOUCH INTEGRATO",1,0)</f>
        <v>0</v>
      </c>
      <c r="I34" s="29">
        <f>H34*$B$34</f>
        <v>0</v>
      </c>
      <c r="J34" s="31">
        <f>IF(MODULO!$AE$10="TOUCH INTEGRATO",1,0)</f>
        <v>0</v>
      </c>
      <c r="K34" s="29">
        <f>$B$34*J34</f>
        <v>0</v>
      </c>
      <c r="L34" s="31">
        <f>IF(MODULO!$AL$10="TOUCH INTEGRATO",1,0)</f>
        <v>0</v>
      </c>
      <c r="M34" s="29">
        <f>L34*$B$34</f>
        <v>0</v>
      </c>
      <c r="N34" s="31"/>
      <c r="O34" s="29">
        <f>$B$34*N34</f>
        <v>0</v>
      </c>
      <c r="P34" s="50"/>
      <c r="Q34" s="50"/>
      <c r="R34" s="50"/>
      <c r="S34" s="50"/>
      <c r="T34" s="50"/>
      <c r="U34" s="50"/>
      <c r="V34" s="50"/>
    </row>
    <row r="35" spans="1:22" x14ac:dyDescent="0.3">
      <c r="A35" t="s">
        <v>42</v>
      </c>
      <c r="B35" s="28">
        <v>11.97</v>
      </c>
      <c r="C35" s="28"/>
      <c r="D35" s="31">
        <f>IF(MODULO!$J$10="IR INTEGRATO",1,0)</f>
        <v>0</v>
      </c>
      <c r="E35" s="29">
        <f>B35*D35</f>
        <v>0</v>
      </c>
      <c r="F35" s="31">
        <f>IF(MODULO!$Q$10="IR INTEGRATO",1,0)</f>
        <v>0</v>
      </c>
      <c r="G35" s="29">
        <f>B35*F35</f>
        <v>0</v>
      </c>
      <c r="H35" s="31">
        <f>IF(MODULO!$X$10="IR INTEGRATO",1,0)</f>
        <v>0</v>
      </c>
      <c r="I35" s="29">
        <f>H35*$B$35</f>
        <v>0</v>
      </c>
      <c r="J35" s="31">
        <f>IF(MODULO!$AE$10="IR INTEGRATO",1,0)</f>
        <v>0</v>
      </c>
      <c r="K35" s="29">
        <f>$B$35*J35</f>
        <v>0</v>
      </c>
      <c r="L35" s="31">
        <f>IF(MODULO!$AL$10="IR INTEGRATO",1,0)</f>
        <v>0</v>
      </c>
      <c r="M35" s="29">
        <f>L35*$B$35</f>
        <v>0</v>
      </c>
      <c r="N35" s="31"/>
      <c r="O35" s="29">
        <f>$B$35*N35</f>
        <v>0</v>
      </c>
      <c r="P35" s="50"/>
      <c r="Q35" s="50"/>
      <c r="R35" s="50"/>
      <c r="S35" s="50"/>
      <c r="T35" s="50"/>
      <c r="U35" s="50"/>
      <c r="V35" s="50"/>
    </row>
    <row r="36" spans="1:22" s="45" customFormat="1" x14ac:dyDescent="0.3">
      <c r="A36" t="s">
        <v>116</v>
      </c>
      <c r="B36" s="28">
        <v>32.03</v>
      </c>
      <c r="C36" s="28"/>
      <c r="D36" s="31">
        <f>IF(MODULO!$J$10="PIR INTEGRATO",1,0)</f>
        <v>0</v>
      </c>
      <c r="E36" s="29">
        <f>B36*D36</f>
        <v>0</v>
      </c>
      <c r="F36" s="31">
        <f>IF(MODULO!$Q$10="PIR INTEGRATO",1,0)</f>
        <v>0</v>
      </c>
      <c r="G36" s="29">
        <f>B36*F36</f>
        <v>0</v>
      </c>
      <c r="H36" s="31">
        <f>IF(MODULO!$X$10="PIR INTEGRATO",1,0)</f>
        <v>0</v>
      </c>
      <c r="I36" s="29">
        <f>H36*$B$36</f>
        <v>0</v>
      </c>
      <c r="J36" s="31">
        <f>IF(MODULO!$AE$10="PIR INTEGRATO",1,0)</f>
        <v>0</v>
      </c>
      <c r="K36" s="29">
        <f>$B$36*J36</f>
        <v>0</v>
      </c>
      <c r="L36" s="31">
        <f>IF(MODULO!$AL$10="PIR INTEGRATO",1,0)</f>
        <v>0</v>
      </c>
      <c r="M36" s="29">
        <f>L36*$B$36</f>
        <v>0</v>
      </c>
      <c r="N36" s="31"/>
      <c r="O36" s="29">
        <f>$B$36*N36</f>
        <v>0</v>
      </c>
      <c r="P36" s="50"/>
      <c r="Q36" s="50"/>
      <c r="R36" s="50"/>
      <c r="S36" s="50"/>
      <c r="T36" s="50"/>
      <c r="U36" s="50"/>
      <c r="V36" s="50"/>
    </row>
    <row r="37" spans="1:22" x14ac:dyDescent="0.3">
      <c r="B37" s="28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x14ac:dyDescent="0.3">
      <c r="B38" s="28"/>
      <c r="C38" s="28"/>
      <c r="D38" s="29"/>
      <c r="E38" s="316" t="s">
        <v>43</v>
      </c>
      <c r="F38" s="316"/>
      <c r="G38" s="316"/>
      <c r="H38" s="316"/>
      <c r="I38" s="316"/>
      <c r="J38" s="316"/>
      <c r="K38" s="316"/>
      <c r="L38"/>
      <c r="M38" s="28"/>
      <c r="N38" s="28"/>
      <c r="O38" s="29"/>
      <c r="P38" s="316"/>
      <c r="Q38" s="316"/>
      <c r="R38" s="316"/>
      <c r="S38" s="316"/>
      <c r="T38" s="316"/>
      <c r="U38" s="316"/>
      <c r="V38" s="316"/>
    </row>
    <row r="39" spans="1:22" s="45" customFormat="1" x14ac:dyDescent="0.3">
      <c r="A39" s="32" t="s">
        <v>44</v>
      </c>
      <c r="B39" s="33">
        <v>48.75</v>
      </c>
      <c r="C39" s="33"/>
      <c r="D39" s="33"/>
      <c r="E39" s="34">
        <f>(B39/5000*E25)+SUM(E28:E36)</f>
        <v>10</v>
      </c>
      <c r="F39" s="33"/>
      <c r="G39" s="34">
        <f>(B39/5000*G25)+SUM(G28:G36)</f>
        <v>10</v>
      </c>
      <c r="H39" s="33"/>
      <c r="I39" s="34">
        <f>($B$39/5000*I25)+SUM(I28:I36)</f>
        <v>10</v>
      </c>
      <c r="J39" s="33"/>
      <c r="K39" s="34">
        <f>($B$39/5000*K25)+SUM(K28:K36)</f>
        <v>10</v>
      </c>
      <c r="L39" s="33"/>
      <c r="M39" s="34">
        <f>($B$39/5000*M25)+SUM(M28:M36)</f>
        <v>10</v>
      </c>
      <c r="N39" s="33"/>
      <c r="O39" s="34">
        <f>($B$39/5000*O25)+SUM(O28:O36)</f>
        <v>10</v>
      </c>
      <c r="P39" s="26"/>
      <c r="Q39" s="29"/>
      <c r="R39" s="26"/>
      <c r="S39" s="29"/>
      <c r="T39" s="26"/>
      <c r="U39" s="29"/>
      <c r="V39" s="26"/>
    </row>
    <row r="40" spans="1:22" x14ac:dyDescent="0.3">
      <c r="A40" s="35" t="s">
        <v>45</v>
      </c>
      <c r="B40" s="28">
        <v>7.8</v>
      </c>
      <c r="C40" s="28"/>
      <c r="D40" s="29"/>
      <c r="E40" s="36">
        <f>B40/1000*E25</f>
        <v>0</v>
      </c>
      <c r="F40" s="29"/>
      <c r="G40" s="36">
        <f>B40/1000*G25</f>
        <v>0</v>
      </c>
      <c r="H40" s="29"/>
      <c r="I40" s="36">
        <f>$B$40/1000*I25</f>
        <v>0</v>
      </c>
      <c r="J40" s="29"/>
      <c r="K40" s="36">
        <f>$B$40/1000*K25</f>
        <v>0</v>
      </c>
      <c r="L40" s="29"/>
      <c r="M40" s="36">
        <f>$B$40/1000*M25</f>
        <v>0</v>
      </c>
      <c r="N40" s="29"/>
      <c r="O40" s="36">
        <f>$B$40/1000*O25</f>
        <v>0</v>
      </c>
      <c r="P40" s="36"/>
      <c r="Q40" s="29"/>
      <c r="R40" s="36"/>
      <c r="S40" s="29"/>
      <c r="T40" s="36"/>
      <c r="U40" s="29"/>
      <c r="V40" s="36"/>
    </row>
    <row r="41" spans="1:22" x14ac:dyDescent="0.3">
      <c r="A41" s="37" t="s">
        <v>46</v>
      </c>
      <c r="B41" s="38">
        <v>71.680000000000007</v>
      </c>
      <c r="C41" s="38"/>
      <c r="D41" s="39"/>
      <c r="E41" s="40">
        <f>(B41/5000*E25)+SUM(E28:E36)</f>
        <v>10</v>
      </c>
      <c r="F41" s="39"/>
      <c r="G41" s="40">
        <f>(B41/5000*G25)+SUM(G28:G36)</f>
        <v>10</v>
      </c>
      <c r="H41" s="39"/>
      <c r="I41" s="40">
        <f>($B$41/5000*I25)+SUM(I28:I36)</f>
        <v>10</v>
      </c>
      <c r="J41" s="39"/>
      <c r="K41" s="41">
        <f>($B$41/5000*K25)+SUM(K28:K36)</f>
        <v>10</v>
      </c>
      <c r="L41" s="39"/>
      <c r="M41" s="40">
        <f>($B$41/5000*M25)+SUM(M28:M36)</f>
        <v>10</v>
      </c>
      <c r="N41" s="39"/>
      <c r="O41" s="41">
        <f>($B$41/5000*O25)+SUM(O28:O36)</f>
        <v>10</v>
      </c>
      <c r="P41" s="26"/>
      <c r="Q41" s="29"/>
      <c r="R41" s="26"/>
      <c r="S41" s="29"/>
      <c r="T41" s="26"/>
      <c r="U41" s="29"/>
      <c r="V41" s="26"/>
    </row>
    <row r="42" spans="1:22" x14ac:dyDescent="0.3">
      <c r="A42" s="35" t="s">
        <v>45</v>
      </c>
      <c r="B42" s="28">
        <v>11.8</v>
      </c>
      <c r="C42" s="28"/>
      <c r="D42" s="29"/>
      <c r="E42" s="36">
        <f>B42/1000*E25</f>
        <v>0</v>
      </c>
      <c r="F42" s="29"/>
      <c r="G42" s="36">
        <f>B42/1000*G25</f>
        <v>0</v>
      </c>
      <c r="H42" s="29"/>
      <c r="I42" s="36">
        <f>$B$42/1000*I25</f>
        <v>0</v>
      </c>
      <c r="J42" s="29"/>
      <c r="K42" s="36">
        <f>$B$42/1000*K25</f>
        <v>0</v>
      </c>
      <c r="L42" s="29"/>
      <c r="M42" s="36">
        <f>$B$42/1000*M25</f>
        <v>0</v>
      </c>
      <c r="N42" s="29"/>
      <c r="O42" s="36">
        <f>$B$42/1000*O25</f>
        <v>0</v>
      </c>
      <c r="P42" s="36"/>
      <c r="Q42" s="29"/>
      <c r="R42" s="36"/>
      <c r="S42" s="29"/>
      <c r="T42" s="36"/>
      <c r="U42" s="29"/>
      <c r="V42" s="36"/>
    </row>
    <row r="43" spans="1:22" x14ac:dyDescent="0.3">
      <c r="A43" s="32" t="s">
        <v>47</v>
      </c>
      <c r="B43" s="42">
        <v>84.8</v>
      </c>
      <c r="C43" s="42"/>
      <c r="D43" s="42"/>
      <c r="E43" s="34">
        <f>(B43/5000*E25)+SUM(E28:E36)</f>
        <v>10</v>
      </c>
      <c r="F43" s="42"/>
      <c r="G43" s="34">
        <f>(B43/5000*G25)+SUM(G28:G36)</f>
        <v>10</v>
      </c>
      <c r="H43" s="42"/>
      <c r="I43" s="34">
        <f>($B$43/5000*I25)+SUM(I28:I36)</f>
        <v>10</v>
      </c>
      <c r="J43" s="42"/>
      <c r="K43" s="34">
        <f>($B$43/5000*K25)+SUM(K28:K36)</f>
        <v>10</v>
      </c>
      <c r="L43" s="42"/>
      <c r="M43" s="34">
        <f>($B$43/5000*M25)+SUM(M28:M36)</f>
        <v>10</v>
      </c>
      <c r="N43" s="42"/>
      <c r="O43" s="34">
        <f>($B$43/5000*O25)+SUM(O28:O36)</f>
        <v>10</v>
      </c>
      <c r="P43" s="26"/>
      <c r="Q43" s="44"/>
      <c r="R43" s="26"/>
      <c r="S43" s="44"/>
      <c r="T43" s="26"/>
      <c r="U43" s="44"/>
      <c r="V43" s="26"/>
    </row>
    <row r="44" spans="1:22" x14ac:dyDescent="0.3">
      <c r="A44" s="35" t="s">
        <v>45</v>
      </c>
      <c r="B44" s="43">
        <v>16.899999999999999</v>
      </c>
      <c r="C44" s="43"/>
      <c r="D44" s="44"/>
      <c r="E44" s="36">
        <f>B44/1000*E25</f>
        <v>0</v>
      </c>
      <c r="F44" s="44"/>
      <c r="G44" s="36">
        <f>B44/1000*G25</f>
        <v>0</v>
      </c>
      <c r="H44" s="44"/>
      <c r="I44" s="36">
        <f>$B$44/1000*I25</f>
        <v>0</v>
      </c>
      <c r="J44" s="44"/>
      <c r="K44" s="36">
        <f>$B$44/1000*K25</f>
        <v>0</v>
      </c>
      <c r="L44" s="44"/>
      <c r="M44" s="36">
        <f>$B$44/1000*M25</f>
        <v>0</v>
      </c>
      <c r="N44" s="44"/>
      <c r="O44" s="36">
        <f>$B$44/1000*O25</f>
        <v>0</v>
      </c>
      <c r="P44" s="36"/>
      <c r="Q44" s="44"/>
      <c r="R44" s="36"/>
      <c r="S44" s="44"/>
      <c r="T44" s="36"/>
      <c r="U44" s="44"/>
      <c r="V44" s="36"/>
    </row>
    <row r="45" spans="1:22" x14ac:dyDescent="0.3">
      <c r="B45" s="53"/>
      <c r="C45" s="53"/>
      <c r="D45" s="54"/>
      <c r="E45" s="29"/>
      <c r="F45" s="54"/>
      <c r="G45" s="29"/>
      <c r="H45" s="54"/>
      <c r="I45" s="29"/>
      <c r="J45" s="54"/>
      <c r="K45" s="29"/>
      <c r="L45" s="54"/>
      <c r="M45" s="29"/>
      <c r="N45" s="54"/>
      <c r="O45" s="29"/>
    </row>
    <row r="46" spans="1:22" s="47" customFormat="1" x14ac:dyDescent="0.3">
      <c r="B46" s="55"/>
      <c r="C46" s="55"/>
      <c r="D46" s="56"/>
      <c r="E46" s="49"/>
      <c r="F46" s="56"/>
      <c r="G46" s="49"/>
      <c r="H46" s="56"/>
      <c r="I46" s="49"/>
      <c r="J46" s="56"/>
      <c r="K46" s="49"/>
      <c r="L46" s="56"/>
      <c r="M46" s="49"/>
      <c r="N46" s="56"/>
      <c r="O46" s="49"/>
    </row>
    <row r="47" spans="1:22" x14ac:dyDescent="0.3">
      <c r="A47" s="24" t="s">
        <v>50</v>
      </c>
      <c r="B47" s="25"/>
      <c r="C47" s="25"/>
      <c r="D47" s="26" t="s">
        <v>115</v>
      </c>
      <c r="E47" s="26" t="s">
        <v>19</v>
      </c>
      <c r="F47" s="26" t="s">
        <v>115</v>
      </c>
      <c r="G47" s="26" t="s">
        <v>20</v>
      </c>
      <c r="H47" s="26" t="s">
        <v>115</v>
      </c>
      <c r="I47" s="26" t="s">
        <v>21</v>
      </c>
      <c r="J47" s="26" t="s">
        <v>115</v>
      </c>
      <c r="K47" s="26" t="s">
        <v>22</v>
      </c>
      <c r="L47" s="26" t="s">
        <v>115</v>
      </c>
      <c r="M47" s="26" t="s">
        <v>23</v>
      </c>
      <c r="N47" s="26"/>
      <c r="O47" s="26" t="s">
        <v>24</v>
      </c>
    </row>
    <row r="48" spans="1:22" x14ac:dyDescent="0.3">
      <c r="A48" t="s">
        <v>33</v>
      </c>
      <c r="B48" s="28"/>
      <c r="C48" s="28"/>
      <c r="D48" s="29">
        <f>MODULO!$J$7</f>
        <v>0</v>
      </c>
      <c r="E48" s="30">
        <f>MODULO!$J$11</f>
        <v>0</v>
      </c>
      <c r="F48" s="29">
        <f>MODULO!$Q$7</f>
        <v>0</v>
      </c>
      <c r="G48" s="30">
        <f>MODULO!$Q$11</f>
        <v>0</v>
      </c>
      <c r="H48" s="29">
        <f>MODULO!$X$7</f>
        <v>0</v>
      </c>
      <c r="I48" s="30">
        <f>MODULO!$X$11</f>
        <v>0</v>
      </c>
      <c r="J48" s="29">
        <f>MODULO!$AE$7</f>
        <v>0</v>
      </c>
      <c r="K48" s="30">
        <f>MODULO!$AE$11</f>
        <v>0</v>
      </c>
      <c r="L48" s="29">
        <f>MODULO!$AL$7</f>
        <v>0</v>
      </c>
      <c r="M48" s="30">
        <f>MODULO!$AL$11</f>
        <v>0</v>
      </c>
      <c r="N48" s="29"/>
      <c r="O48" s="30"/>
    </row>
    <row r="49" spans="1:15" x14ac:dyDescent="0.3">
      <c r="B49" s="28"/>
      <c r="C49" s="2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">
      <c r="A50" t="s">
        <v>34</v>
      </c>
      <c r="B50" s="28">
        <v>10</v>
      </c>
      <c r="C50" s="28"/>
      <c r="D50" s="29"/>
      <c r="E50" s="29">
        <f>B50</f>
        <v>10</v>
      </c>
      <c r="F50" s="29"/>
      <c r="G50" s="29">
        <f>B50</f>
        <v>10</v>
      </c>
      <c r="H50" s="29"/>
      <c r="I50" s="29">
        <f>$B$50</f>
        <v>10</v>
      </c>
      <c r="J50" s="29"/>
      <c r="K50" s="29">
        <f>$B$50</f>
        <v>10</v>
      </c>
      <c r="L50" s="29"/>
      <c r="M50" s="29">
        <f>$B$50</f>
        <v>10</v>
      </c>
      <c r="N50" s="29"/>
      <c r="O50" s="29">
        <f>$B$50</f>
        <v>10</v>
      </c>
    </row>
    <row r="51" spans="1:15" x14ac:dyDescent="0.3">
      <c r="A51" t="s">
        <v>35</v>
      </c>
      <c r="B51" s="28">
        <v>23.13</v>
      </c>
      <c r="C51" s="28"/>
      <c r="D51" s="29"/>
      <c r="E51" s="29">
        <f>B51/4300*E48</f>
        <v>0</v>
      </c>
      <c r="F51" s="29"/>
      <c r="G51" s="29">
        <f>B51/4300*G48</f>
        <v>0</v>
      </c>
      <c r="H51" s="29"/>
      <c r="I51" s="29">
        <f>$B$51/4300*I48</f>
        <v>0</v>
      </c>
      <c r="J51" s="29"/>
      <c r="K51" s="29">
        <f>$B$51/4300*K48</f>
        <v>0</v>
      </c>
      <c r="L51" s="29"/>
      <c r="M51" s="29">
        <f>$B$51/4300*M48</f>
        <v>0</v>
      </c>
      <c r="N51" s="29"/>
      <c r="O51" s="29">
        <f>$B$51/4300*O48</f>
        <v>0</v>
      </c>
    </row>
    <row r="52" spans="1:15" x14ac:dyDescent="0.3">
      <c r="A52" t="s">
        <v>36</v>
      </c>
      <c r="B52" s="28">
        <v>8.6300000000000008</v>
      </c>
      <c r="C52" s="28"/>
      <c r="D52" s="29"/>
      <c r="E52" s="29">
        <f>B52/3000*E48</f>
        <v>0</v>
      </c>
      <c r="F52" s="29"/>
      <c r="G52" s="29">
        <f>B52/3000*G48</f>
        <v>0</v>
      </c>
      <c r="H52" s="29"/>
      <c r="I52" s="29">
        <f>$B$52/3000*I48</f>
        <v>0</v>
      </c>
      <c r="J52" s="29"/>
      <c r="K52" s="29">
        <f>$B$52/3000*K48</f>
        <v>0</v>
      </c>
      <c r="L52" s="29"/>
      <c r="M52" s="29">
        <f>$B$52/3000*M48</f>
        <v>0</v>
      </c>
      <c r="N52" s="29"/>
      <c r="O52" s="29">
        <f>$B$52/3000*O48</f>
        <v>0</v>
      </c>
    </row>
    <row r="53" spans="1:15" s="45" customFormat="1" x14ac:dyDescent="0.3">
      <c r="A53" t="s">
        <v>37</v>
      </c>
      <c r="B53" s="28">
        <v>4.2699999999999996</v>
      </c>
      <c r="C53" s="28"/>
      <c r="D53" s="29"/>
      <c r="E53" s="29">
        <f>IF(MODULO!$J$9="SI",$B$53,0)</f>
        <v>0</v>
      </c>
      <c r="F53" s="29"/>
      <c r="G53" s="29">
        <f>IF(MODULO!$Q$9="SI",$B$53,0)</f>
        <v>0</v>
      </c>
      <c r="H53" s="29"/>
      <c r="I53" s="29">
        <f>IF(MODULO!$X$9="SI",$B$53,0)</f>
        <v>0</v>
      </c>
      <c r="J53" s="29"/>
      <c r="K53" s="29">
        <f>IF(MODULO!$AE$9="SI",$B$53,0)</f>
        <v>0</v>
      </c>
      <c r="L53" s="29"/>
      <c r="M53" s="29">
        <f>IF(MODULO!$AL$9="SI",$B$53,0)</f>
        <v>0</v>
      </c>
      <c r="N53" s="29"/>
      <c r="O53" s="29">
        <f>$B$53</f>
        <v>4.2699999999999996</v>
      </c>
    </row>
    <row r="54" spans="1:15" x14ac:dyDescent="0.3">
      <c r="B54" s="28"/>
      <c r="C54" s="28"/>
      <c r="D54" s="26" t="s">
        <v>38</v>
      </c>
      <c r="E54" s="26"/>
      <c r="F54" s="26" t="s">
        <v>38</v>
      </c>
      <c r="G54" s="26"/>
      <c r="H54" s="26" t="s">
        <v>38</v>
      </c>
      <c r="I54" s="26"/>
      <c r="J54" s="26" t="s">
        <v>38</v>
      </c>
      <c r="K54" s="26"/>
      <c r="L54" s="26" t="s">
        <v>38</v>
      </c>
      <c r="M54" s="26"/>
      <c r="N54" s="26" t="s">
        <v>38</v>
      </c>
      <c r="O54" s="26"/>
    </row>
    <row r="55" spans="1:15" x14ac:dyDescent="0.3">
      <c r="A55" t="s">
        <v>39</v>
      </c>
      <c r="B55" s="28">
        <v>1.65</v>
      </c>
      <c r="C55" s="28"/>
      <c r="D55" s="31">
        <f>IF(MODULO!$J$10="CAVO",1,0)</f>
        <v>0</v>
      </c>
      <c r="E55" s="29">
        <f>B55*D55</f>
        <v>0</v>
      </c>
      <c r="F55" s="31">
        <f>IF(MODULO!$Q$10="CAVO",1,0)</f>
        <v>0</v>
      </c>
      <c r="G55" s="29">
        <f>B55*F55</f>
        <v>0</v>
      </c>
      <c r="H55" s="31">
        <f>IF(MODULO!$X$10="CAVO",1,0)</f>
        <v>0</v>
      </c>
      <c r="I55" s="29">
        <f>H55*$B$55</f>
        <v>0</v>
      </c>
      <c r="J55" s="31">
        <f>IF(MODULO!$AE$10="CAVO",1,0)</f>
        <v>0</v>
      </c>
      <c r="K55" s="29">
        <f>$B$55*J55</f>
        <v>0</v>
      </c>
      <c r="L55" s="31">
        <f>IF(MODULO!$AL$10="CAVO",1,0)</f>
        <v>0</v>
      </c>
      <c r="M55" s="29">
        <f>L55*$B$55</f>
        <v>0</v>
      </c>
      <c r="N55" s="31"/>
      <c r="O55" s="29">
        <f>$B$55*N55</f>
        <v>0</v>
      </c>
    </row>
    <row r="56" spans="1:15" s="45" customFormat="1" x14ac:dyDescent="0.3">
      <c r="A56" t="s">
        <v>40</v>
      </c>
      <c r="B56" s="28">
        <v>1.17</v>
      </c>
      <c r="C56" s="28"/>
      <c r="D56" s="31">
        <f>IF(MODULO!$L$14&lt;&gt;"",MODULO!$L$14/D48,0)</f>
        <v>0</v>
      </c>
      <c r="E56" s="29">
        <f>B56*D56</f>
        <v>0</v>
      </c>
      <c r="F56" s="31">
        <f>IF(MODULO!$S$14&lt;&gt;"",MODULO!$S$14/F48,0)</f>
        <v>0</v>
      </c>
      <c r="G56" s="29">
        <f>B56*F56</f>
        <v>0</v>
      </c>
      <c r="H56" s="31">
        <f>IF(MODULO!$Z$14&lt;&gt;"",MODULO!$Z$14/H48,0)</f>
        <v>0</v>
      </c>
      <c r="I56" s="29">
        <f>H56*$B$56</f>
        <v>0</v>
      </c>
      <c r="J56" s="31">
        <f>IF(MODULO!$AG$14&lt;&gt;"",MODULO!$AG$14/J48,0)</f>
        <v>0</v>
      </c>
      <c r="K56" s="29">
        <f>$B$56*J56</f>
        <v>0</v>
      </c>
      <c r="L56" s="31">
        <f>IF(MODULO!$AN$14&lt;&gt;"",MODULO!$AN$14/L48,0)</f>
        <v>0</v>
      </c>
      <c r="M56" s="29">
        <f>L56*$B$56</f>
        <v>0</v>
      </c>
      <c r="N56" s="31"/>
      <c r="O56" s="29">
        <f>$B$56*N56</f>
        <v>0</v>
      </c>
    </row>
    <row r="57" spans="1:15" x14ac:dyDescent="0.3">
      <c r="A57" t="s">
        <v>41</v>
      </c>
      <c r="B57" s="28">
        <v>9.7799999999999994</v>
      </c>
      <c r="C57" s="28"/>
      <c r="D57" s="31">
        <f>IF(MODULO!$J$10="TOUCH INTEGRATO",1,0)</f>
        <v>0</v>
      </c>
      <c r="E57" s="29">
        <f>B57*D57</f>
        <v>0</v>
      </c>
      <c r="F57" s="31">
        <f>IF(MODULO!$Q$10="TOUCH INTEGRATO",1,0)</f>
        <v>0</v>
      </c>
      <c r="G57" s="29">
        <f>B57*F57</f>
        <v>0</v>
      </c>
      <c r="H57" s="31">
        <f>IF(MODULO!$X$10="TOUCH INTEGRATO",1,0)</f>
        <v>0</v>
      </c>
      <c r="I57" s="29">
        <f>H57*$B$57</f>
        <v>0</v>
      </c>
      <c r="J57" s="31">
        <f>IF(MODULO!$AE$10="TOUCH INTEGRATO",1,0)</f>
        <v>0</v>
      </c>
      <c r="K57" s="29">
        <f>$B$57*J57</f>
        <v>0</v>
      </c>
      <c r="L57" s="31">
        <f>IF(MODULO!$AL$10="TOUCH INTEGRATO",1,0)</f>
        <v>0</v>
      </c>
      <c r="M57" s="29">
        <f>L57*$B$57</f>
        <v>0</v>
      </c>
      <c r="N57" s="31"/>
      <c r="O57" s="29">
        <f>$B$57*N57</f>
        <v>0</v>
      </c>
    </row>
    <row r="58" spans="1:15" x14ac:dyDescent="0.3">
      <c r="A58" t="s">
        <v>42</v>
      </c>
      <c r="B58" s="28">
        <v>11.97</v>
      </c>
      <c r="C58" s="28"/>
      <c r="D58" s="31">
        <f>IF(MODULO!$J$10="IR INTEGRATO",1,0)</f>
        <v>0</v>
      </c>
      <c r="E58" s="29">
        <f>B58*D58</f>
        <v>0</v>
      </c>
      <c r="F58" s="31">
        <f>IF(MODULO!$Q$10="IR INTEGRATO",1,0)</f>
        <v>0</v>
      </c>
      <c r="G58" s="29">
        <f>B58*F58</f>
        <v>0</v>
      </c>
      <c r="H58" s="31">
        <f>IF(MODULO!$X$10="IR INTEGRATO",1,0)</f>
        <v>0</v>
      </c>
      <c r="I58" s="29">
        <f>H58*$B$58</f>
        <v>0</v>
      </c>
      <c r="J58" s="31">
        <f>IF(MODULO!$AE$10="IR INTEGRATO",1,0)</f>
        <v>0</v>
      </c>
      <c r="K58" s="29">
        <f>$B$58*J58</f>
        <v>0</v>
      </c>
      <c r="L58" s="31">
        <f>IF(MODULO!$AL$10="IR INTEGRATO",1,0)</f>
        <v>0</v>
      </c>
      <c r="M58" s="29">
        <f>L58*$B$58</f>
        <v>0</v>
      </c>
      <c r="N58" s="31"/>
      <c r="O58" s="29">
        <f>$B$58*N58</f>
        <v>0</v>
      </c>
    </row>
    <row r="59" spans="1:15" x14ac:dyDescent="0.3">
      <c r="A59" t="s">
        <v>116</v>
      </c>
      <c r="B59" s="28">
        <v>32.03</v>
      </c>
      <c r="C59" s="28"/>
      <c r="D59" s="31">
        <f>IF(MODULO!$J$10="PIR INTEGRATO",1,0)</f>
        <v>0</v>
      </c>
      <c r="E59" s="29">
        <f>B59*D59</f>
        <v>0</v>
      </c>
      <c r="F59" s="31">
        <f>IF(MODULO!$Q$10="PIR INTEGRATO",1,0)</f>
        <v>0</v>
      </c>
      <c r="G59" s="29">
        <f>B59*F59</f>
        <v>0</v>
      </c>
      <c r="H59" s="31">
        <f>IF(MODULO!$X$10="PIR INTEGRATO",1,0)</f>
        <v>0</v>
      </c>
      <c r="I59" s="29">
        <f>H59*$B$59</f>
        <v>0</v>
      </c>
      <c r="J59" s="31">
        <f>IF(MODULO!$AE$10="PIR INTEGRATO",1,0)</f>
        <v>0</v>
      </c>
      <c r="K59" s="29">
        <f>$B$59*J59</f>
        <v>0</v>
      </c>
      <c r="L59" s="31">
        <f>IF(MODULO!$AL$10="PIR INTEGRATO",1,0)</f>
        <v>0</v>
      </c>
      <c r="M59" s="29">
        <f>L59*$B$59</f>
        <v>0</v>
      </c>
      <c r="N59" s="31"/>
      <c r="O59" s="29">
        <f>$B$59*N59</f>
        <v>0</v>
      </c>
    </row>
    <row r="60" spans="1:15" x14ac:dyDescent="0.3">
      <c r="B60" s="28"/>
      <c r="C60" s="2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">
      <c r="B61" s="28"/>
      <c r="C61" s="28"/>
      <c r="D61" s="29"/>
      <c r="E61" s="316" t="s">
        <v>43</v>
      </c>
      <c r="F61" s="316"/>
      <c r="G61" s="316"/>
      <c r="H61" s="316"/>
      <c r="I61" s="316"/>
      <c r="J61" s="316"/>
      <c r="K61" s="316"/>
      <c r="L61"/>
      <c r="M61"/>
      <c r="N61"/>
      <c r="O61"/>
    </row>
    <row r="62" spans="1:15" x14ac:dyDescent="0.3">
      <c r="A62" s="32" t="s">
        <v>44</v>
      </c>
      <c r="B62" s="33">
        <v>48.75</v>
      </c>
      <c r="C62" s="33"/>
      <c r="D62" s="33"/>
      <c r="E62" s="34">
        <f>(B62/5000*E48)+SUM(E50:E59)</f>
        <v>10</v>
      </c>
      <c r="F62" s="33"/>
      <c r="G62" s="34">
        <f>(B62/5000*G48)+SUM(G50:G59)</f>
        <v>10</v>
      </c>
      <c r="H62" s="33"/>
      <c r="I62" s="34">
        <f>($B$62/5000*I48)+SUM(I50:I59)</f>
        <v>10</v>
      </c>
      <c r="J62" s="33"/>
      <c r="K62" s="34">
        <f>($B$62/5000*K48)+SUM(K50:K59)</f>
        <v>10</v>
      </c>
      <c r="L62" s="33"/>
      <c r="M62" s="34">
        <f>($B$62/5000*M48)+SUM(M50:M59)</f>
        <v>10</v>
      </c>
      <c r="N62" s="33"/>
      <c r="O62" s="34">
        <f>($B$62/5000*O48)+SUM(O50:O59)</f>
        <v>14.27</v>
      </c>
    </row>
    <row r="63" spans="1:15" x14ac:dyDescent="0.3">
      <c r="A63" s="35" t="s">
        <v>45</v>
      </c>
      <c r="B63" s="28">
        <v>7.8</v>
      </c>
      <c r="C63" s="28"/>
      <c r="D63" s="29"/>
      <c r="E63" s="36">
        <f>B63/1000*E48</f>
        <v>0</v>
      </c>
      <c r="F63" s="29"/>
      <c r="G63" s="36">
        <f>B63/1000*G48</f>
        <v>0</v>
      </c>
      <c r="H63" s="29"/>
      <c r="I63" s="36">
        <f>$B$63/1000*I48</f>
        <v>0</v>
      </c>
      <c r="J63" s="29"/>
      <c r="K63" s="36">
        <f>$B$63/1000*K48</f>
        <v>0</v>
      </c>
      <c r="L63" s="29"/>
      <c r="M63" s="36">
        <f>$B$63/1000*M48</f>
        <v>0</v>
      </c>
      <c r="N63" s="29"/>
      <c r="O63" s="36">
        <f>$B$63/1000*O48</f>
        <v>0</v>
      </c>
    </row>
    <row r="64" spans="1:15" x14ac:dyDescent="0.3">
      <c r="A64" s="37" t="s">
        <v>46</v>
      </c>
      <c r="B64" s="38">
        <v>71.680000000000007</v>
      </c>
      <c r="C64" s="38"/>
      <c r="D64" s="39"/>
      <c r="E64" s="40">
        <f>(B64/5000*E48)+SUM(E50:E59)</f>
        <v>10</v>
      </c>
      <c r="F64" s="39"/>
      <c r="G64" s="40">
        <f>(B64/5000*G48)+SUM(G50:G59)</f>
        <v>10</v>
      </c>
      <c r="H64" s="39"/>
      <c r="I64" s="40">
        <f>($B$64/5000*I48)+SUM(I50:I59)</f>
        <v>10</v>
      </c>
      <c r="J64" s="39"/>
      <c r="K64" s="41">
        <f>($B$64/5000*K48)+SUM(K50:K59)</f>
        <v>10</v>
      </c>
      <c r="L64" s="39"/>
      <c r="M64" s="40">
        <f>($B$64/5000*M48)+SUM(M50:M59)</f>
        <v>10</v>
      </c>
      <c r="N64" s="39"/>
      <c r="O64" s="41">
        <f>($B$64/5000*O48)+SUM(O50:O59)</f>
        <v>14.27</v>
      </c>
    </row>
    <row r="65" spans="1:15" x14ac:dyDescent="0.3">
      <c r="A65" s="35" t="s">
        <v>45</v>
      </c>
      <c r="B65" s="28">
        <v>11.8</v>
      </c>
      <c r="C65" s="28"/>
      <c r="D65" s="29"/>
      <c r="E65" s="36">
        <f>B65/1000*E48</f>
        <v>0</v>
      </c>
      <c r="F65" s="29"/>
      <c r="G65" s="36">
        <f>B65/1000*G48</f>
        <v>0</v>
      </c>
      <c r="H65" s="29"/>
      <c r="I65" s="36">
        <f>$B$65/1000*I48</f>
        <v>0</v>
      </c>
      <c r="J65" s="29"/>
      <c r="K65" s="36">
        <f>$B$65/1000*K48</f>
        <v>0</v>
      </c>
      <c r="L65" s="29"/>
      <c r="M65" s="36">
        <f>$B$65/1000*M48</f>
        <v>0</v>
      </c>
      <c r="N65" s="29"/>
      <c r="O65" s="36">
        <f>$B$65/1000*O48</f>
        <v>0</v>
      </c>
    </row>
    <row r="66" spans="1:15" x14ac:dyDescent="0.3">
      <c r="A66" s="32" t="s">
        <v>47</v>
      </c>
      <c r="B66" s="42">
        <v>84.8</v>
      </c>
      <c r="C66" s="42"/>
      <c r="D66" s="42"/>
      <c r="E66" s="34">
        <f>(B66/5000*E48)+SUM(E50:E59)</f>
        <v>10</v>
      </c>
      <c r="F66" s="42"/>
      <c r="G66" s="34">
        <f>(B66/5000*G48)+SUM(G50:G59)</f>
        <v>10</v>
      </c>
      <c r="H66" s="42"/>
      <c r="I66" s="34">
        <f>($B$66/5000*I48)+SUM(I50:I59)</f>
        <v>10</v>
      </c>
      <c r="J66" s="42"/>
      <c r="K66" s="34">
        <f>($B$66/5000*K48)+SUM(K50:K59)</f>
        <v>10</v>
      </c>
      <c r="L66" s="42"/>
      <c r="M66" s="34">
        <f>($B$66/5000*M48)+SUM(M50:M59)</f>
        <v>10</v>
      </c>
      <c r="N66" s="42"/>
      <c r="O66" s="34">
        <f>($B$66/5000*O48)+SUM(O50:O59)</f>
        <v>14.27</v>
      </c>
    </row>
    <row r="67" spans="1:15" x14ac:dyDescent="0.3">
      <c r="A67" s="35" t="s">
        <v>45</v>
      </c>
      <c r="B67" s="43">
        <v>16.899999999999999</v>
      </c>
      <c r="C67" s="43"/>
      <c r="D67" s="44"/>
      <c r="E67" s="36">
        <f>B67/1000*E48</f>
        <v>0</v>
      </c>
      <c r="F67" s="44"/>
      <c r="G67" s="36">
        <f>B67/1000*G48</f>
        <v>0</v>
      </c>
      <c r="H67" s="44"/>
      <c r="I67" s="36">
        <f>$B$67/1000*I48</f>
        <v>0</v>
      </c>
      <c r="J67" s="44"/>
      <c r="K67" s="36">
        <f>$B$67/1000*K48</f>
        <v>0</v>
      </c>
      <c r="L67" s="44"/>
      <c r="M67" s="36">
        <f>$B$67/1000*M48</f>
        <v>0</v>
      </c>
      <c r="N67" s="44"/>
      <c r="O67" s="36">
        <f>$B$67/1000*O48</f>
        <v>0</v>
      </c>
    </row>
    <row r="69" spans="1:15" s="47" customFormat="1" x14ac:dyDescent="0.3">
      <c r="B69" s="59"/>
      <c r="C69" s="59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</row>
    <row r="70" spans="1:15" x14ac:dyDescent="0.3">
      <c r="A70" s="24" t="s">
        <v>51</v>
      </c>
      <c r="B70" s="25"/>
      <c r="C70" s="25"/>
      <c r="D70" s="26" t="s">
        <v>115</v>
      </c>
      <c r="E70" s="26" t="s">
        <v>19</v>
      </c>
      <c r="F70" s="26" t="s">
        <v>115</v>
      </c>
      <c r="G70" s="26" t="s">
        <v>20</v>
      </c>
      <c r="H70" s="26" t="s">
        <v>115</v>
      </c>
      <c r="I70" s="26" t="s">
        <v>21</v>
      </c>
      <c r="J70" s="26" t="s">
        <v>115</v>
      </c>
      <c r="K70" s="26" t="s">
        <v>22</v>
      </c>
      <c r="L70" s="26" t="s">
        <v>115</v>
      </c>
      <c r="M70" s="26" t="s">
        <v>23</v>
      </c>
      <c r="N70" s="26"/>
      <c r="O70" s="26" t="s">
        <v>24</v>
      </c>
    </row>
    <row r="71" spans="1:15" x14ac:dyDescent="0.3">
      <c r="A71" t="s">
        <v>33</v>
      </c>
      <c r="B71" s="28"/>
      <c r="C71" s="28"/>
      <c r="D71" s="29">
        <f>MODULO!$J$7</f>
        <v>0</v>
      </c>
      <c r="E71" s="30">
        <f>MODULO!$J$11</f>
        <v>0</v>
      </c>
      <c r="F71" s="29">
        <f>MODULO!$Q$7</f>
        <v>0</v>
      </c>
      <c r="G71" s="30">
        <f>MODULO!$Q$11</f>
        <v>0</v>
      </c>
      <c r="H71" s="29">
        <f>MODULO!$X$7</f>
        <v>0</v>
      </c>
      <c r="I71" s="30">
        <f>MODULO!$X$11</f>
        <v>0</v>
      </c>
      <c r="J71" s="29">
        <f>MODULO!$AE$7</f>
        <v>0</v>
      </c>
      <c r="K71" s="30">
        <f>MODULO!$AE$11</f>
        <v>0</v>
      </c>
      <c r="L71" s="29">
        <f>MODULO!$AL$7</f>
        <v>0</v>
      </c>
      <c r="M71" s="30">
        <f>MODULO!$AL$11</f>
        <v>0</v>
      </c>
      <c r="N71" s="29"/>
      <c r="O71" s="30"/>
    </row>
    <row r="72" spans="1:15" x14ac:dyDescent="0.3">
      <c r="B72" s="28"/>
      <c r="C72" s="28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">
      <c r="A73" t="s">
        <v>34</v>
      </c>
      <c r="B73" s="28">
        <v>10</v>
      </c>
      <c r="C73" s="28"/>
      <c r="D73" s="29"/>
      <c r="E73" s="29">
        <f>B73</f>
        <v>10</v>
      </c>
      <c r="F73" s="29"/>
      <c r="G73" s="29">
        <f>B73</f>
        <v>10</v>
      </c>
      <c r="H73" s="29"/>
      <c r="I73" s="29">
        <f>$B$73</f>
        <v>10</v>
      </c>
      <c r="J73" s="29"/>
      <c r="K73" s="29">
        <f>$B$73</f>
        <v>10</v>
      </c>
      <c r="L73" s="29"/>
      <c r="M73" s="29">
        <f>$B$73</f>
        <v>10</v>
      </c>
      <c r="N73" s="29"/>
      <c r="O73" s="29">
        <f>$B$73</f>
        <v>10</v>
      </c>
    </row>
    <row r="74" spans="1:15" x14ac:dyDescent="0.3">
      <c r="A74" t="s">
        <v>35</v>
      </c>
      <c r="B74" s="28">
        <v>20.7</v>
      </c>
      <c r="C74" s="28"/>
      <c r="D74" s="29"/>
      <c r="E74" s="29">
        <f>B74/3000*E71</f>
        <v>0</v>
      </c>
      <c r="F74" s="29"/>
      <c r="G74" s="29">
        <f>B74/3000*G71</f>
        <v>0</v>
      </c>
      <c r="H74" s="29"/>
      <c r="I74" s="29">
        <f>$B$74/3000*I71</f>
        <v>0</v>
      </c>
      <c r="J74" s="29"/>
      <c r="K74" s="29">
        <f>$B$74/3000*K71</f>
        <v>0</v>
      </c>
      <c r="L74" s="29"/>
      <c r="M74" s="29">
        <f>$B$74/3000*M71</f>
        <v>0</v>
      </c>
      <c r="N74" s="29"/>
      <c r="O74" s="29">
        <f>$B$74/3000*O71</f>
        <v>0</v>
      </c>
    </row>
    <row r="75" spans="1:15" x14ac:dyDescent="0.3">
      <c r="A75" t="s">
        <v>36</v>
      </c>
      <c r="B75" s="28">
        <v>8.6300000000000008</v>
      </c>
      <c r="C75" s="28"/>
      <c r="D75" s="29"/>
      <c r="E75" s="29">
        <f>B75/3000*E71</f>
        <v>0</v>
      </c>
      <c r="F75" s="29"/>
      <c r="G75" s="29">
        <f>B75/3000*G71</f>
        <v>0</v>
      </c>
      <c r="H75" s="29"/>
      <c r="I75" s="29">
        <f>$B$75/3000*I71</f>
        <v>0</v>
      </c>
      <c r="J75" s="29"/>
      <c r="K75" s="29">
        <f>$B$75/3000*K71</f>
        <v>0</v>
      </c>
      <c r="L75" s="29"/>
      <c r="M75" s="29">
        <f>$B$75/3000*M71</f>
        <v>0</v>
      </c>
      <c r="N75" s="29"/>
      <c r="O75" s="29">
        <f>$B$75/3000*O71</f>
        <v>0</v>
      </c>
    </row>
    <row r="76" spans="1:15" x14ac:dyDescent="0.3">
      <c r="A76" t="s">
        <v>37</v>
      </c>
      <c r="B76" s="28">
        <v>4.21</v>
      </c>
      <c r="C76" s="28"/>
      <c r="D76" s="29"/>
      <c r="E76" s="29">
        <f>IF(MODULO!$J$9="SI",$B$76,0)</f>
        <v>0</v>
      </c>
      <c r="F76" s="29"/>
      <c r="G76" s="29">
        <f>IF(MODULO!$Q$9="SI",$B$76,0)</f>
        <v>0</v>
      </c>
      <c r="H76" s="29"/>
      <c r="I76" s="29">
        <f>IF(MODULO!$X$9="SI",$B$76,0)</f>
        <v>0</v>
      </c>
      <c r="J76" s="29"/>
      <c r="K76" s="29">
        <f>IF(MODULO!$AE$9="SI",$B$76,0)</f>
        <v>0</v>
      </c>
      <c r="L76" s="29"/>
      <c r="M76" s="29">
        <f>IF(MODULO!$AL$9="SI",$B$76,0)</f>
        <v>0</v>
      </c>
      <c r="N76" s="29"/>
      <c r="O76" s="29">
        <f>$B$76</f>
        <v>4.21</v>
      </c>
    </row>
    <row r="77" spans="1:15" x14ac:dyDescent="0.3">
      <c r="B77" s="28"/>
      <c r="C77" s="28"/>
      <c r="D77" s="26" t="s">
        <v>38</v>
      </c>
      <c r="E77" s="26"/>
      <c r="F77" s="26" t="s">
        <v>38</v>
      </c>
      <c r="G77" s="26"/>
      <c r="H77" s="26" t="s">
        <v>38</v>
      </c>
      <c r="I77" s="26"/>
      <c r="J77" s="26" t="s">
        <v>38</v>
      </c>
      <c r="K77" s="26"/>
      <c r="L77" s="26" t="s">
        <v>38</v>
      </c>
      <c r="M77" s="26"/>
      <c r="N77" s="26" t="s">
        <v>38</v>
      </c>
      <c r="O77" s="26"/>
    </row>
    <row r="78" spans="1:15" x14ac:dyDescent="0.3">
      <c r="A78" t="s">
        <v>39</v>
      </c>
      <c r="B78" s="28">
        <v>1.65</v>
      </c>
      <c r="C78" s="28"/>
      <c r="D78" s="31">
        <f>IF(MODULO!$J$10="CAVO",1,0)</f>
        <v>0</v>
      </c>
      <c r="E78" s="29">
        <f>B78*D78</f>
        <v>0</v>
      </c>
      <c r="F78" s="31">
        <f>IF(MODULO!$Q$10="CAVO",1,0)</f>
        <v>0</v>
      </c>
      <c r="G78" s="29">
        <f>B78*F78</f>
        <v>0</v>
      </c>
      <c r="H78" s="31">
        <f>IF(MODULO!$X$10="CAVO",1,0)</f>
        <v>0</v>
      </c>
      <c r="I78" s="29">
        <f>H78*$B$78</f>
        <v>0</v>
      </c>
      <c r="J78" s="31">
        <f>IF(MODULO!$AE$10="CAVO",1,0)</f>
        <v>0</v>
      </c>
      <c r="K78" s="29">
        <f>$B$78*J78</f>
        <v>0</v>
      </c>
      <c r="L78" s="31">
        <f>IF(MODULO!$AL$10="CAVO",1,0)</f>
        <v>0</v>
      </c>
      <c r="M78" s="29">
        <f>L78*$B$78</f>
        <v>0</v>
      </c>
      <c r="N78" s="31"/>
      <c r="O78" s="29">
        <f>$B$78*N78</f>
        <v>0</v>
      </c>
    </row>
    <row r="79" spans="1:15" x14ac:dyDescent="0.3">
      <c r="A79" t="s">
        <v>52</v>
      </c>
      <c r="B79" s="28">
        <v>0.8</v>
      </c>
      <c r="C79" s="28"/>
      <c r="D79" s="31">
        <f>IF(MODULO!$L$14&lt;&gt;"",MODULO!$L$14/D71,0)</f>
        <v>0</v>
      </c>
      <c r="E79" s="29">
        <f>B79*D79</f>
        <v>0</v>
      </c>
      <c r="F79" s="31">
        <f>IF(MODULO!$S$14&lt;&gt;"",MODULO!$S$14/F71,0)</f>
        <v>0</v>
      </c>
      <c r="G79" s="29">
        <f>B79*F79</f>
        <v>0</v>
      </c>
      <c r="H79" s="31">
        <f>IF(MODULO!$Z$14&lt;&gt;"",MODULO!$Z$14/H71,0)</f>
        <v>0</v>
      </c>
      <c r="I79" s="29">
        <f>H79*$B$79</f>
        <v>0</v>
      </c>
      <c r="J79" s="31">
        <f>IF(MODULO!$AG$14&lt;&gt;"",MODULO!$AG$14/J71,0)</f>
        <v>0</v>
      </c>
      <c r="K79" s="29">
        <f>$B$79*J79</f>
        <v>0</v>
      </c>
      <c r="L79" s="31">
        <f>IF(MODULO!$AN$14&lt;&gt;"",MODULO!$AN$14/L71,0)</f>
        <v>0</v>
      </c>
      <c r="M79" s="29">
        <f>L79*$B$79</f>
        <v>0</v>
      </c>
      <c r="N79" s="31"/>
      <c r="O79" s="29">
        <f>$B$79*N79</f>
        <v>0</v>
      </c>
    </row>
    <row r="80" spans="1:15" x14ac:dyDescent="0.3">
      <c r="A80" t="s">
        <v>41</v>
      </c>
      <c r="B80" s="28">
        <v>9.7799999999999994</v>
      </c>
      <c r="C80" s="28"/>
      <c r="D80" s="31">
        <f>IF(MODULO!$J$10="TOUCH INTEGRATO",1,0)</f>
        <v>0</v>
      </c>
      <c r="E80" s="29">
        <f>B80*D80</f>
        <v>0</v>
      </c>
      <c r="F80" s="31">
        <f>IF(MODULO!$Q$10="TOUCH INTEGRATO",1,0)</f>
        <v>0</v>
      </c>
      <c r="G80" s="29">
        <f>B80*F80</f>
        <v>0</v>
      </c>
      <c r="H80" s="31">
        <f>IF(MODULO!$X$10="TOUCH INTEGRATO",1,0)</f>
        <v>0</v>
      </c>
      <c r="I80" s="29">
        <f>H80*$B$80</f>
        <v>0</v>
      </c>
      <c r="J80" s="31">
        <f>IF(MODULO!$AE$10="TOUCH INTEGRATO",1,0)</f>
        <v>0</v>
      </c>
      <c r="K80" s="29">
        <f>$B$80*J80</f>
        <v>0</v>
      </c>
      <c r="L80" s="31">
        <f>IF(MODULO!$AL$10="TOUCH INTEGRATO",1,0)</f>
        <v>0</v>
      </c>
      <c r="M80" s="29">
        <f>L80*$B$80</f>
        <v>0</v>
      </c>
      <c r="N80" s="31"/>
      <c r="O80" s="29">
        <f>$B$80*N80</f>
        <v>0</v>
      </c>
    </row>
    <row r="81" spans="1:15" x14ac:dyDescent="0.3">
      <c r="A81" t="s">
        <v>42</v>
      </c>
      <c r="B81" s="28">
        <v>11.97</v>
      </c>
      <c r="C81" s="28"/>
      <c r="D81" s="31">
        <f>IF(MODULO!$J$10="IR INTEGRATO",1,0)</f>
        <v>0</v>
      </c>
      <c r="E81" s="29">
        <f>B81*D81</f>
        <v>0</v>
      </c>
      <c r="F81" s="31">
        <f>IF(MODULO!$Q$10="IR INTEGRATO",1,0)</f>
        <v>0</v>
      </c>
      <c r="G81" s="29">
        <f>B81*F81</f>
        <v>0</v>
      </c>
      <c r="H81" s="31">
        <f>IF(MODULO!$X$10="IR INTEGRATO",1,0)</f>
        <v>0</v>
      </c>
      <c r="I81" s="29">
        <f>H81*$B$81</f>
        <v>0</v>
      </c>
      <c r="J81" s="31">
        <f>IF(MODULO!$AE$10="IR INTEGRATO",1,0)</f>
        <v>0</v>
      </c>
      <c r="K81" s="29">
        <f>$B$81*J81</f>
        <v>0</v>
      </c>
      <c r="L81" s="31">
        <f>IF(MODULO!$AL$10="IR INTEGRATO",1,0)</f>
        <v>0</v>
      </c>
      <c r="M81" s="29">
        <f>L81*$B$81</f>
        <v>0</v>
      </c>
      <c r="N81" s="31"/>
      <c r="O81" s="29">
        <f>$B$81*N81</f>
        <v>0</v>
      </c>
    </row>
    <row r="82" spans="1:15" x14ac:dyDescent="0.3">
      <c r="A82" t="s">
        <v>116</v>
      </c>
      <c r="B82" s="28">
        <v>32.03</v>
      </c>
      <c r="C82" s="28"/>
      <c r="D82" s="31">
        <f>IF(MODULO!$J$10="PIR INTEGRATO",1,0)</f>
        <v>0</v>
      </c>
      <c r="E82" s="29">
        <f>B82*D82</f>
        <v>0</v>
      </c>
      <c r="F82" s="31">
        <f>IF(MODULO!$Q$10="PIR INTEGRATO",1,0)</f>
        <v>0</v>
      </c>
      <c r="G82" s="29">
        <f>B82*F82</f>
        <v>0</v>
      </c>
      <c r="H82" s="31">
        <f>IF(MODULO!$X$10="PIR INTEGRATO",1,0)</f>
        <v>0</v>
      </c>
      <c r="I82" s="29">
        <f>H82*$B$82</f>
        <v>0</v>
      </c>
      <c r="J82" s="31">
        <f>IF(MODULO!$AE$10="PIR INTEGRATO",1,0)</f>
        <v>0</v>
      </c>
      <c r="K82" s="29">
        <f>$B$82*J82</f>
        <v>0</v>
      </c>
      <c r="L82" s="31">
        <f>IF(MODULO!$AL$10="PIR INTEGRATO",1,0)</f>
        <v>0</v>
      </c>
      <c r="M82" s="29">
        <f>L82*$B$82</f>
        <v>0</v>
      </c>
      <c r="N82" s="31"/>
      <c r="O82" s="29">
        <f>$B$82*N82</f>
        <v>0</v>
      </c>
    </row>
    <row r="83" spans="1:15" x14ac:dyDescent="0.3">
      <c r="B83" s="28"/>
      <c r="C83" s="28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">
      <c r="B84" s="28"/>
      <c r="C84" s="28"/>
      <c r="D84" s="29"/>
      <c r="E84" s="316" t="s">
        <v>43</v>
      </c>
      <c r="F84" s="316"/>
      <c r="G84" s="316"/>
      <c r="H84" s="316"/>
      <c r="I84" s="316"/>
      <c r="J84" s="316"/>
      <c r="K84" s="316"/>
      <c r="L84"/>
      <c r="M84"/>
      <c r="N84"/>
      <c r="O84"/>
    </row>
    <row r="85" spans="1:15" x14ac:dyDescent="0.3">
      <c r="A85" s="32" t="s">
        <v>44</v>
      </c>
      <c r="B85" s="33">
        <v>48.75</v>
      </c>
      <c r="C85" s="33"/>
      <c r="D85" s="33"/>
      <c r="E85" s="34">
        <f>(B85/5000*E71)+SUM(E73:E82)</f>
        <v>10</v>
      </c>
      <c r="F85" s="33"/>
      <c r="G85" s="34">
        <f>(B85/5000*G71)+SUM(G73:G82)</f>
        <v>10</v>
      </c>
      <c r="H85" s="33"/>
      <c r="I85" s="34">
        <f>($B$85/5000*I71)+SUM(I73:I82)</f>
        <v>10</v>
      </c>
      <c r="J85" s="33"/>
      <c r="K85" s="34">
        <f>($B$85/5000*K71)+SUM(K73:K82)</f>
        <v>10</v>
      </c>
      <c r="L85" s="33"/>
      <c r="M85" s="34">
        <f>($B$85/5000*M71)+SUM(M73:M82)</f>
        <v>10</v>
      </c>
      <c r="N85" s="33"/>
      <c r="O85" s="34">
        <f>($B$85/5000*O71)+SUM(O73:O82)</f>
        <v>14.21</v>
      </c>
    </row>
    <row r="86" spans="1:15" x14ac:dyDescent="0.3">
      <c r="A86" s="35" t="s">
        <v>45</v>
      </c>
      <c r="B86" s="28">
        <v>7.8</v>
      </c>
      <c r="C86" s="28"/>
      <c r="D86" s="29"/>
      <c r="E86" s="36">
        <f>B86/1000*E71</f>
        <v>0</v>
      </c>
      <c r="F86" s="29"/>
      <c r="G86" s="36">
        <f>B86/1000*G71</f>
        <v>0</v>
      </c>
      <c r="H86" s="29"/>
      <c r="I86" s="36">
        <f>$B$86/1000*I71</f>
        <v>0</v>
      </c>
      <c r="J86" s="29"/>
      <c r="K86" s="36">
        <f>$B$86/1000*K71</f>
        <v>0</v>
      </c>
      <c r="L86" s="29"/>
      <c r="M86" s="36">
        <f>$B$86/1000*M71</f>
        <v>0</v>
      </c>
      <c r="N86" s="29"/>
      <c r="O86" s="36">
        <f>$B$86/1000*O71</f>
        <v>0</v>
      </c>
    </row>
    <row r="87" spans="1:15" x14ac:dyDescent="0.3">
      <c r="A87" s="37" t="s">
        <v>46</v>
      </c>
      <c r="B87" s="38">
        <v>71.680000000000007</v>
      </c>
      <c r="C87" s="38"/>
      <c r="D87" s="39"/>
      <c r="E87" s="40">
        <f>(B87/5000*E71)+SUM(E73:E82)</f>
        <v>10</v>
      </c>
      <c r="F87" s="39"/>
      <c r="G87" s="40">
        <f>(B87/5000*G71)+SUM(G73:G82)</f>
        <v>10</v>
      </c>
      <c r="H87" s="39"/>
      <c r="I87" s="40">
        <f>($B$87/5000*I71)+SUM(I73:I82)</f>
        <v>10</v>
      </c>
      <c r="J87" s="39"/>
      <c r="K87" s="41">
        <f>($B$87/5000*K71)+SUM(K73:K82)</f>
        <v>10</v>
      </c>
      <c r="L87" s="39"/>
      <c r="M87" s="40">
        <f>($B$87/5000*M71)+SUM(M73:M82)</f>
        <v>10</v>
      </c>
      <c r="N87" s="39"/>
      <c r="O87" s="41">
        <f>($B$87/5000*O71)+SUM(O73:O82)</f>
        <v>14.21</v>
      </c>
    </row>
    <row r="88" spans="1:15" x14ac:dyDescent="0.3">
      <c r="A88" s="35" t="s">
        <v>45</v>
      </c>
      <c r="B88" s="28">
        <v>11.8</v>
      </c>
      <c r="C88" s="28"/>
      <c r="D88" s="29"/>
      <c r="E88" s="36">
        <f>B88/1000*E71</f>
        <v>0</v>
      </c>
      <c r="F88" s="29"/>
      <c r="G88" s="36">
        <f>B88/1000*G71</f>
        <v>0</v>
      </c>
      <c r="H88" s="29"/>
      <c r="I88" s="36">
        <f>$B$88/1000*I71</f>
        <v>0</v>
      </c>
      <c r="J88" s="29"/>
      <c r="K88" s="36">
        <f>$B$88/1000*K71</f>
        <v>0</v>
      </c>
      <c r="L88" s="29"/>
      <c r="M88" s="36">
        <f>$B$88/1000*M71</f>
        <v>0</v>
      </c>
      <c r="N88" s="29"/>
      <c r="O88" s="36">
        <f>$B$88/1000*O71</f>
        <v>0</v>
      </c>
    </row>
    <row r="89" spans="1:15" x14ac:dyDescent="0.3">
      <c r="A89" s="32" t="s">
        <v>47</v>
      </c>
      <c r="B89" s="42">
        <v>84.8</v>
      </c>
      <c r="C89" s="42"/>
      <c r="D89" s="42"/>
      <c r="E89" s="34">
        <f>(B89/5000*E71)+SUM(E73:E82)</f>
        <v>10</v>
      </c>
      <c r="F89" s="42"/>
      <c r="G89" s="34">
        <f>(B89/5000*G71)+SUM(G73:G82)</f>
        <v>10</v>
      </c>
      <c r="H89" s="42"/>
      <c r="I89" s="34">
        <f>($B$89/5000*I71)+SUM(I73:I82)</f>
        <v>10</v>
      </c>
      <c r="J89" s="42"/>
      <c r="K89" s="34">
        <f>($B$89/5000*K71)+SUM(K73:K82)</f>
        <v>10</v>
      </c>
      <c r="L89" s="42"/>
      <c r="M89" s="34">
        <f>($B$89/5000*M71)+SUM(M73:M82)</f>
        <v>10</v>
      </c>
      <c r="N89" s="42"/>
      <c r="O89" s="34">
        <f>($B$89/5000*O71)+SUM(O73:O82)</f>
        <v>14.21</v>
      </c>
    </row>
    <row r="90" spans="1:15" x14ac:dyDescent="0.3">
      <c r="A90" s="35" t="s">
        <v>45</v>
      </c>
      <c r="B90" s="43">
        <v>16.899999999999999</v>
      </c>
      <c r="C90" s="43"/>
      <c r="D90" s="44"/>
      <c r="E90" s="36">
        <f>B90/1000*E71</f>
        <v>0</v>
      </c>
      <c r="F90" s="44"/>
      <c r="G90" s="36">
        <f>B90/1000*G71</f>
        <v>0</v>
      </c>
      <c r="H90" s="44"/>
      <c r="I90" s="36">
        <f>$B$90/1000*I71</f>
        <v>0</v>
      </c>
      <c r="J90" s="44"/>
      <c r="K90" s="36">
        <f>$B$90/1000*K71</f>
        <v>0</v>
      </c>
      <c r="L90" s="44"/>
      <c r="M90" s="36">
        <f>$B$90/1000*M71</f>
        <v>0</v>
      </c>
      <c r="N90" s="44"/>
      <c r="O90" s="36">
        <f>$B$90/1000*O71</f>
        <v>0</v>
      </c>
    </row>
    <row r="91" spans="1:15" s="61" customFormat="1" x14ac:dyDescent="0.3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1:15" x14ac:dyDescent="0.3">
      <c r="A92" s="24" t="s">
        <v>154</v>
      </c>
      <c r="B92" s="25"/>
      <c r="C92" s="25"/>
      <c r="D92" s="26"/>
      <c r="E92" s="26" t="s">
        <v>19</v>
      </c>
      <c r="F92" s="26"/>
      <c r="G92" s="26" t="s">
        <v>20</v>
      </c>
      <c r="H92" s="26"/>
      <c r="I92" s="26" t="s">
        <v>21</v>
      </c>
      <c r="J92" s="26"/>
      <c r="K92" s="26" t="s">
        <v>22</v>
      </c>
      <c r="L92" s="26"/>
      <c r="M92" s="26" t="s">
        <v>23</v>
      </c>
      <c r="N92" s="26"/>
      <c r="O92" s="26" t="s">
        <v>24</v>
      </c>
    </row>
    <row r="93" spans="1:15" x14ac:dyDescent="0.3">
      <c r="A93" t="s">
        <v>33</v>
      </c>
      <c r="B93" s="28"/>
      <c r="C93" s="28"/>
      <c r="D93" s="29">
        <f>MODULO!$J$7</f>
        <v>0</v>
      </c>
      <c r="E93" s="30">
        <f>MODULO!$J$11</f>
        <v>0</v>
      </c>
      <c r="F93" s="29">
        <f>MODULO!$Q$7</f>
        <v>0</v>
      </c>
      <c r="G93" s="30">
        <f>MODULO!$Q$11</f>
        <v>0</v>
      </c>
      <c r="H93" s="29">
        <f>MODULO!$X$7</f>
        <v>0</v>
      </c>
      <c r="I93" s="30">
        <f>MODULO!$X$11</f>
        <v>0</v>
      </c>
      <c r="J93" s="29">
        <f>MODULO!$AE$7</f>
        <v>0</v>
      </c>
      <c r="K93" s="30">
        <f>MODULO!$AE$11</f>
        <v>0</v>
      </c>
      <c r="L93" s="29">
        <f>MODULO!$AL$7</f>
        <v>0</v>
      </c>
      <c r="M93" s="30">
        <f>MODULO!$AL$11</f>
        <v>0</v>
      </c>
      <c r="N93" s="29"/>
      <c r="O93" s="30"/>
    </row>
    <row r="94" spans="1:15" x14ac:dyDescent="0.3">
      <c r="B94" s="28"/>
      <c r="C94" s="28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">
      <c r="A95" t="s">
        <v>34</v>
      </c>
      <c r="B95" s="28">
        <v>10</v>
      </c>
      <c r="C95" s="28"/>
      <c r="D95" s="29"/>
      <c r="E95" s="29">
        <f>B95</f>
        <v>10</v>
      </c>
      <c r="F95" s="29"/>
      <c r="G95" s="29">
        <f>B95</f>
        <v>10</v>
      </c>
      <c r="H95" s="29"/>
      <c r="I95" s="29">
        <f>$B$95</f>
        <v>10</v>
      </c>
      <c r="J95" s="29"/>
      <c r="K95" s="29">
        <f>$B$95</f>
        <v>10</v>
      </c>
      <c r="L95" s="29"/>
      <c r="M95" s="29">
        <f>$B$95</f>
        <v>10</v>
      </c>
      <c r="N95" s="29"/>
      <c r="O95" s="29">
        <f>$B$95</f>
        <v>10</v>
      </c>
    </row>
    <row r="96" spans="1:15" x14ac:dyDescent="0.3">
      <c r="A96" t="s">
        <v>155</v>
      </c>
      <c r="B96" s="28">
        <v>21</v>
      </c>
      <c r="C96" s="28"/>
      <c r="D96" s="29"/>
      <c r="E96" s="29">
        <f>$B$96/3300*E93</f>
        <v>0</v>
      </c>
      <c r="F96" s="29"/>
      <c r="G96" s="29">
        <f>$B$96/3300*G93</f>
        <v>0</v>
      </c>
      <c r="H96" s="29"/>
      <c r="I96" s="29">
        <f>$B$96/3300*I93</f>
        <v>0</v>
      </c>
      <c r="J96" s="29"/>
      <c r="K96" s="29">
        <f>$B$96/3300*K93</f>
        <v>0</v>
      </c>
      <c r="L96" s="29"/>
      <c r="M96" s="29">
        <f>$B$96/3300*M93</f>
        <v>0</v>
      </c>
      <c r="N96" s="29"/>
      <c r="O96" s="29">
        <f>$B$96/3300*O93</f>
        <v>0</v>
      </c>
    </row>
    <row r="97" spans="1:37" x14ac:dyDescent="0.3">
      <c r="A97" t="s">
        <v>37</v>
      </c>
      <c r="B97" s="28">
        <v>1.8</v>
      </c>
      <c r="C97" s="28"/>
      <c r="D97" s="29"/>
      <c r="E97" s="29">
        <f>IF(MODULO!$J$9="SI",$B$97,0)</f>
        <v>0</v>
      </c>
      <c r="F97" s="29"/>
      <c r="G97" s="29">
        <f>IF(MODULO!$J$9="SI",$B$97,0)</f>
        <v>0</v>
      </c>
      <c r="H97" s="29"/>
      <c r="I97" s="29">
        <f>IF(MODULO!$J$9="SI",$B$97,0)</f>
        <v>0</v>
      </c>
      <c r="J97" s="29"/>
      <c r="K97" s="29">
        <f>IF(MODULO!$J$9="SI",$B$97,0)</f>
        <v>0</v>
      </c>
      <c r="L97" s="29"/>
      <c r="M97" s="29">
        <f>IF(MODULO!$J$9="SI",$B$97,0)</f>
        <v>0</v>
      </c>
      <c r="N97" s="29"/>
      <c r="O97" s="29">
        <f>IF(MODULO!$J$9="SI",$B$97,0)</f>
        <v>0</v>
      </c>
    </row>
    <row r="98" spans="1:37" x14ac:dyDescent="0.3">
      <c r="B98" s="28"/>
      <c r="C98" s="28"/>
      <c r="D98" s="26" t="s">
        <v>38</v>
      </c>
      <c r="E98" s="26"/>
      <c r="F98" s="26" t="s">
        <v>38</v>
      </c>
      <c r="G98" s="26"/>
      <c r="H98" s="26" t="s">
        <v>38</v>
      </c>
      <c r="I98" s="26"/>
      <c r="J98" s="26" t="s">
        <v>38</v>
      </c>
      <c r="K98" s="26"/>
      <c r="L98" s="26" t="s">
        <v>38</v>
      </c>
      <c r="M98" s="26"/>
      <c r="N98" s="26" t="s">
        <v>38</v>
      </c>
      <c r="O98" s="26"/>
    </row>
    <row r="99" spans="1:37" x14ac:dyDescent="0.3">
      <c r="B99" s="28"/>
      <c r="C99" s="28"/>
      <c r="D99" s="31"/>
      <c r="E99" s="29"/>
      <c r="F99" s="31"/>
      <c r="G99" s="29"/>
      <c r="H99" s="31"/>
      <c r="I99" s="29"/>
      <c r="J99" s="31"/>
      <c r="K99" s="29"/>
      <c r="L99" s="31"/>
      <c r="M99" s="29"/>
      <c r="N99" s="31"/>
      <c r="O99" s="29"/>
    </row>
    <row r="100" spans="1:37" x14ac:dyDescent="0.3">
      <c r="B100" s="28"/>
      <c r="C100" s="28"/>
      <c r="D100" s="31"/>
      <c r="E100" s="29"/>
      <c r="F100" s="31"/>
      <c r="G100" s="29"/>
      <c r="H100" s="31"/>
      <c r="I100" s="29"/>
      <c r="J100" s="31"/>
      <c r="K100" s="29"/>
      <c r="L100" s="31"/>
      <c r="M100" s="29"/>
      <c r="N100" s="31"/>
      <c r="O100" s="29"/>
    </row>
    <row r="101" spans="1:37" x14ac:dyDescent="0.3">
      <c r="B101" s="28"/>
      <c r="C101" s="28"/>
      <c r="D101" s="31"/>
      <c r="E101" s="29"/>
      <c r="F101" s="31"/>
      <c r="G101" s="29"/>
      <c r="H101" s="31"/>
      <c r="I101" s="29"/>
      <c r="J101" s="31"/>
      <c r="K101" s="29"/>
      <c r="L101" s="31"/>
      <c r="M101" s="29"/>
      <c r="N101" s="31"/>
      <c r="O101" s="29"/>
    </row>
    <row r="102" spans="1:37" x14ac:dyDescent="0.3">
      <c r="B102" s="28"/>
      <c r="C102" s="28"/>
      <c r="D102" s="31"/>
      <c r="E102" s="29"/>
      <c r="F102" s="31"/>
      <c r="G102" s="29"/>
      <c r="H102" s="31"/>
      <c r="I102" s="29"/>
      <c r="J102" s="31"/>
      <c r="K102" s="29"/>
      <c r="L102" s="31"/>
      <c r="M102" s="29"/>
      <c r="N102" s="31"/>
      <c r="O102" s="29"/>
    </row>
    <row r="103" spans="1:37" x14ac:dyDescent="0.3">
      <c r="B103" s="28"/>
      <c r="C103" s="28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37" x14ac:dyDescent="0.3">
      <c r="B104" s="28"/>
      <c r="C104" s="28"/>
      <c r="D104" s="29"/>
      <c r="E104" s="316" t="s">
        <v>43</v>
      </c>
      <c r="F104" s="316"/>
      <c r="G104" s="316"/>
      <c r="H104" s="316"/>
      <c r="I104" s="316"/>
      <c r="J104" s="316"/>
      <c r="K104" s="316"/>
      <c r="L104"/>
      <c r="M104"/>
      <c r="N104"/>
      <c r="O104"/>
    </row>
    <row r="105" spans="1:37" x14ac:dyDescent="0.3">
      <c r="A105" s="37" t="s">
        <v>54</v>
      </c>
      <c r="B105" s="38">
        <v>35</v>
      </c>
      <c r="C105" s="38"/>
      <c r="D105" s="38">
        <f>IF(E93&lt;1500,17.5,35)</f>
        <v>17.5</v>
      </c>
      <c r="E105" s="40">
        <f>(D105)+SUM(E95:E102)</f>
        <v>27.5</v>
      </c>
      <c r="F105" s="38">
        <f>IF(G93&lt;1500,17.5,35)</f>
        <v>17.5</v>
      </c>
      <c r="G105" s="40">
        <f>(F105)+SUM(G95:G102)</f>
        <v>27.5</v>
      </c>
      <c r="H105" s="38">
        <f>IF(I93&lt;1500,17.5,35)</f>
        <v>17.5</v>
      </c>
      <c r="I105" s="40">
        <f>(H105)+SUM(I95:I102)</f>
        <v>27.5</v>
      </c>
      <c r="J105" s="38">
        <f>IF(K93&lt;1500,17.5,35)</f>
        <v>17.5</v>
      </c>
      <c r="K105" s="40">
        <f>(J105)+SUM(K95:K102)</f>
        <v>27.5</v>
      </c>
      <c r="L105" s="38">
        <f>IF(M93&lt;1500,17.5,35)</f>
        <v>17.5</v>
      </c>
      <c r="M105" s="40">
        <f>(L105)+SUM(M95:M102)</f>
        <v>27.5</v>
      </c>
      <c r="N105" s="38">
        <f>IF(O93&lt;1500,17.5,35)</f>
        <v>17.5</v>
      </c>
      <c r="O105" s="40">
        <f>($D$105)+SUM(O95:O102)</f>
        <v>27.5</v>
      </c>
    </row>
    <row r="106" spans="1:37" x14ac:dyDescent="0.3">
      <c r="A106" s="35" t="s">
        <v>45</v>
      </c>
      <c r="B106" s="28">
        <v>9</v>
      </c>
      <c r="C106" s="28"/>
      <c r="D106" s="29"/>
      <c r="E106" s="36">
        <f>B106/1000*E93</f>
        <v>0</v>
      </c>
      <c r="F106" s="29"/>
      <c r="G106" s="36">
        <f>B106/1000*G93</f>
        <v>0</v>
      </c>
      <c r="H106" s="29"/>
      <c r="I106" s="36">
        <f>$B$106/1000*I93</f>
        <v>0</v>
      </c>
      <c r="J106" s="29"/>
      <c r="K106" s="36">
        <f>$B$106/1000*K93</f>
        <v>0</v>
      </c>
      <c r="L106" s="29"/>
      <c r="M106" s="36">
        <f>$B$106/1000*M93</f>
        <v>0</v>
      </c>
      <c r="N106" s="29"/>
      <c r="O106" s="36">
        <f>$B$106/1000*O93</f>
        <v>0</v>
      </c>
    </row>
    <row r="107" spans="1:37" s="61" customFormat="1" x14ac:dyDescent="0.3"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</row>
    <row r="108" spans="1:37" x14ac:dyDescent="0.3">
      <c r="A108" s="24" t="s">
        <v>53</v>
      </c>
      <c r="B108" s="25"/>
      <c r="C108" s="25"/>
      <c r="D108" s="26" t="s">
        <v>115</v>
      </c>
      <c r="E108" s="26" t="s">
        <v>19</v>
      </c>
      <c r="F108" s="26" t="s">
        <v>115</v>
      </c>
      <c r="G108" s="26" t="s">
        <v>20</v>
      </c>
      <c r="H108" s="26" t="s">
        <v>115</v>
      </c>
      <c r="I108" s="26" t="s">
        <v>21</v>
      </c>
      <c r="J108" s="26" t="s">
        <v>115</v>
      </c>
      <c r="K108" s="26" t="s">
        <v>22</v>
      </c>
      <c r="L108" s="26" t="s">
        <v>115</v>
      </c>
      <c r="M108" s="26" t="s">
        <v>23</v>
      </c>
      <c r="N108" s="26"/>
      <c r="O108" s="26" t="s">
        <v>24</v>
      </c>
    </row>
    <row r="109" spans="1:37" x14ac:dyDescent="0.3">
      <c r="A109" t="s">
        <v>33</v>
      </c>
      <c r="B109" s="28"/>
      <c r="C109" s="28"/>
      <c r="D109" s="29">
        <f>MODULO!$J$7</f>
        <v>0</v>
      </c>
      <c r="E109" s="30">
        <f>MODULO!$J$11</f>
        <v>0</v>
      </c>
      <c r="F109" s="29">
        <f>MODULO!$Q$7</f>
        <v>0</v>
      </c>
      <c r="G109" s="30">
        <f>MODULO!$Q$11</f>
        <v>0</v>
      </c>
      <c r="H109" s="29">
        <f>MODULO!$X$7</f>
        <v>0</v>
      </c>
      <c r="I109" s="30">
        <f>MODULO!$X$11</f>
        <v>0</v>
      </c>
      <c r="J109" s="29">
        <f>MODULO!$AE$7</f>
        <v>0</v>
      </c>
      <c r="K109" s="30">
        <f>MODULO!$AE$11</f>
        <v>0</v>
      </c>
      <c r="L109" s="29">
        <f>MODULO!$AL$7</f>
        <v>0</v>
      </c>
      <c r="M109" s="30">
        <f>MODULO!$AL$11</f>
        <v>0</v>
      </c>
      <c r="N109" s="29"/>
      <c r="O109" s="30"/>
      <c r="AC109" t="s">
        <v>128</v>
      </c>
      <c r="AD109" t="s">
        <v>129</v>
      </c>
      <c r="AE109" t="s">
        <v>130</v>
      </c>
      <c r="AF109" t="s">
        <v>131</v>
      </c>
      <c r="AG109" t="s">
        <v>132</v>
      </c>
      <c r="AH109" t="s">
        <v>106</v>
      </c>
      <c r="AI109" t="s">
        <v>142</v>
      </c>
      <c r="AJ109" t="s">
        <v>143</v>
      </c>
      <c r="AK109" t="s">
        <v>156</v>
      </c>
    </row>
    <row r="110" spans="1:37" x14ac:dyDescent="0.3">
      <c r="B110" s="28"/>
      <c r="C110" s="28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V110">
        <v>1</v>
      </c>
      <c r="W110">
        <v>2</v>
      </c>
      <c r="X110">
        <v>3</v>
      </c>
      <c r="Y110">
        <v>4</v>
      </c>
      <c r="Z110">
        <v>5</v>
      </c>
      <c r="AC110" t="s">
        <v>167</v>
      </c>
      <c r="AD110" s="110" t="s">
        <v>6</v>
      </c>
      <c r="AE110" s="110" t="s">
        <v>6</v>
      </c>
      <c r="AF110" s="110" t="s">
        <v>6</v>
      </c>
      <c r="AG110" s="110" t="s">
        <v>6</v>
      </c>
      <c r="AH110" s="110" t="s">
        <v>6</v>
      </c>
      <c r="AI110" s="110" t="s">
        <v>6</v>
      </c>
      <c r="AJ110" s="110" t="s">
        <v>6</v>
      </c>
      <c r="AK110" s="110" t="s">
        <v>6</v>
      </c>
    </row>
    <row r="111" spans="1:37" x14ac:dyDescent="0.3">
      <c r="A111" t="s">
        <v>34</v>
      </c>
      <c r="B111" s="28">
        <v>10</v>
      </c>
      <c r="C111" s="28"/>
      <c r="D111" s="29"/>
      <c r="E111" s="29">
        <f>$B111</f>
        <v>10</v>
      </c>
      <c r="F111" s="29"/>
      <c r="G111" s="29">
        <f>$B111</f>
        <v>10</v>
      </c>
      <c r="H111" s="29"/>
      <c r="I111" s="29">
        <f>$B111</f>
        <v>10</v>
      </c>
      <c r="J111" s="29"/>
      <c r="K111" s="29">
        <f>$B111</f>
        <v>10</v>
      </c>
      <c r="L111" s="29"/>
      <c r="M111" s="29">
        <f>$B111</f>
        <v>10</v>
      </c>
      <c r="N111" s="29"/>
      <c r="O111" s="29">
        <f>$B111</f>
        <v>10</v>
      </c>
      <c r="V111" t="s">
        <v>117</v>
      </c>
      <c r="AC111" t="s">
        <v>169</v>
      </c>
      <c r="AD111" s="110" t="s">
        <v>96</v>
      </c>
      <c r="AE111" s="110" t="s">
        <v>96</v>
      </c>
      <c r="AF111" s="110" t="s">
        <v>96</v>
      </c>
      <c r="AG111" s="110" t="s">
        <v>96</v>
      </c>
      <c r="AH111" s="45"/>
      <c r="AI111" s="110" t="s">
        <v>96</v>
      </c>
      <c r="AJ111" s="110" t="s">
        <v>96</v>
      </c>
    </row>
    <row r="112" spans="1:37" x14ac:dyDescent="0.3">
      <c r="A112" t="s">
        <v>35</v>
      </c>
      <c r="B112" s="28">
        <v>7</v>
      </c>
      <c r="C112" s="28"/>
      <c r="D112" s="29"/>
      <c r="E112" s="29">
        <f>$B112/3000*E109</f>
        <v>0</v>
      </c>
      <c r="F112" s="29"/>
      <c r="G112" s="29">
        <f>$B112/3000*G109</f>
        <v>0</v>
      </c>
      <c r="H112" s="29"/>
      <c r="I112" s="29">
        <f>$B112/3000*I109</f>
        <v>0</v>
      </c>
      <c r="J112" s="29"/>
      <c r="K112" s="29">
        <f>$B112/3000*K109</f>
        <v>0</v>
      </c>
      <c r="L112" s="29"/>
      <c r="M112" s="29">
        <f>$B112/3000*M109</f>
        <v>0</v>
      </c>
      <c r="N112" s="29"/>
      <c r="O112" s="29">
        <f>$B112/3000*O109</f>
        <v>0</v>
      </c>
      <c r="U112" t="s">
        <v>124</v>
      </c>
      <c r="V112">
        <f>IF(MODULO!$N$14&lt;&gt;"",MODULO!$N$14,IF(AND(MODULO!$J$11&lt;1200),2,IF(AND(MODULO!$J$11&gt;=1200,MODULO!$J$11&lt;1700),3,IF(AND(MODULO!$J$11&gt;=1700,MODULO!$J$11&lt;2200),4,IF(AND(MODULO!$J$11&gt;=2200,MODULO!$J$11&lt;2700),5,IF(AND(MODULO!$J$11&gt;=2700,MODULO!$J$11&lt;3200),6,IF(AND(MODULO!$J$11&gt;=3200,MODULO!$J$11&lt;3700),7,IF(AND(MODULO!$J$11&gt;=3700,MODULO!$J$11&lt;4200),8,IF(AND(MODULO!$J$11&gt;=4200),9)))))))))</f>
        <v>2</v>
      </c>
      <c r="W112">
        <f>IF(MODULO!$U$14&lt;&gt;"",MODULO!$U$14,IF(AND(MODULO!$Q$11&lt;1200),2,IF(AND(MODULO!$Q$11&gt;=1200,MODULO!$Q$11&lt;1700),3,IF(AND(MODULO!$Q$11&gt;=1700,MODULO!$Q$11&lt;2200),4,IF(AND(MODULO!$Q$11&gt;=2200,MODULO!$Q$11&lt;2700),5,IF(AND(MODULO!$Q$11&gt;=2700,MODULO!$Q$11&lt;3200),6,IF(AND(MODULO!$Q$11&gt;=3200,MODULO!$Q$11&lt;3700),7,IF(AND(MODULO!$Q$11&gt;=3700,MODULO!$Q$11&lt;4200),8,IF(AND(MODULO!$Q$11&gt;=4200),9)))))))))</f>
        <v>2</v>
      </c>
      <c r="X112">
        <f>IF(MODULO!$AB$14&lt;&gt;"",MODULO!$AB$14,IF(AND(MODULO!$X$11&lt;1200),2,IF(AND(MODULO!$X$11&gt;=1200,MODULO!$X$11&lt;1700),3,IF(AND(MODULO!$X$11&gt;=1700,MODULO!$X$11&lt;2200),4,IF(AND(MODULO!$X$11&gt;=2200,MODULO!$X$11&lt;2700),5,IF(AND(MODULO!$X$11&gt;=2700,MODULO!$X$11&lt;3200),6,IF(AND(MODULO!$X$11&gt;=3200,MODULO!$X$11&lt;3700),7,IF(AND(MODULO!$X$11&gt;=3700,MODULO!$X$11&lt;4200),8,IF(AND(MODULO!$X$11&gt;=4200),9)))))))))</f>
        <v>2</v>
      </c>
      <c r="Y112">
        <f>IF(MODULO!$AI$14&lt;&gt;"",MODULO!$AI$14,IF(AND(MODULO!$AE$11&lt;1200),2,IF(AND(MODULO!$AE$11&gt;=1200,MODULO!$AE$11&lt;1700),3,IF(AND(MODULO!$AE$11&gt;=1700,MODULO!$AE$11&lt;2200),4,IF(AND(MODULO!$AE$11&gt;=2200,MODULO!$AE$11&lt;2700),5,IF(AND(MODULO!$AE$11&gt;=2700,MODULO!$AE$11&lt;3200),6,IF(AND(MODULO!$AE$11&gt;=3200,MODULO!$AE$11&lt;3700),7,IF(AND(MODULO!$AE$11&gt;=3700,MODULO!$AE$11&lt;4200),8,IF(AND(MODULO!$AE$11&gt;=4200),9)))))))))</f>
        <v>2</v>
      </c>
      <c r="Z112">
        <f>IF(MODULO!$AP$14&lt;&gt;"",MODULO!$AP$14,IF(AND(MODULO!$AL$11&lt;1200),2,IF(AND(MODULO!$AL$11&gt;=1200,MODULO!$AL$11&lt;1700),3,IF(AND(MODULO!$AL$11&gt;=1700,MODULO!$AL$11&lt;2200),4,IF(AND(MODULO!$AL$11&gt;=2200,MODULO!$AL$11&lt;2700),5,IF(AND(MODULO!$AL$11&gt;=2700,MODULO!$AL$11&lt;3200),6,IF(AND(MODULO!$AL$11&gt;=3200,MODULO!$AL$11&lt;3700),7,IF(AND(MODULO!$AL$11&gt;=3700,MODULO!$AL$11&lt;4200),8,IF(AND(MODULO!$AL$11&gt;=4200),9)))))))))</f>
        <v>2</v>
      </c>
      <c r="AC112" t="s">
        <v>130</v>
      </c>
      <c r="AD112" s="110" t="s">
        <v>100</v>
      </c>
      <c r="AE112" s="110" t="s">
        <v>100</v>
      </c>
      <c r="AF112" s="110" t="s">
        <v>100</v>
      </c>
      <c r="AG112" s="110" t="s">
        <v>100</v>
      </c>
      <c r="AH112" s="45"/>
    </row>
    <row r="113" spans="1:34" x14ac:dyDescent="0.3">
      <c r="A113" t="s">
        <v>36</v>
      </c>
      <c r="B113" s="28">
        <v>9.6</v>
      </c>
      <c r="C113" s="28"/>
      <c r="D113" s="29"/>
      <c r="E113" s="29">
        <f>B113/3000*E109</f>
        <v>0</v>
      </c>
      <c r="F113" s="29"/>
      <c r="G113" s="29">
        <f>B113/3000*G109</f>
        <v>0</v>
      </c>
      <c r="H113" s="29"/>
      <c r="I113" s="29">
        <f>$B$113/3000*I109</f>
        <v>0</v>
      </c>
      <c r="J113" s="29"/>
      <c r="K113" s="29">
        <f>$B$113/3000*K109</f>
        <v>0</v>
      </c>
      <c r="L113" s="29"/>
      <c r="M113" s="29">
        <f>$B$113/3000*M109</f>
        <v>0</v>
      </c>
      <c r="N113" s="29"/>
      <c r="O113" s="29">
        <f>$B$113/3000*O109</f>
        <v>0</v>
      </c>
      <c r="U113" t="s">
        <v>125</v>
      </c>
      <c r="V113">
        <f>IF(MODULO!$N$14&lt;&gt;"",MODULO!$N$14,IF(AND(MODULO!$J$11&lt;1200),1,IF(AND(MODULO!$J$11&gt;=1200,MODULO!$J$11&lt;2200),2,IF(AND(MODULO!$J$11&gt;=2200,MODULO!$J$11&lt;3200),3,IF(AND(MODULO!$J$11&gt;=3200,MODULO!$J$11&lt;4200),4,IF(AND(MODULO!$J$11&gt;=4200),5))))))</f>
        <v>1</v>
      </c>
      <c r="W113">
        <f>IF(MODULO!$U$14&lt;&gt;"",MODULO!$U$14,IF(AND(MODULO!$Q$11&lt;1200),1,IF(AND(MODULO!$Q$11&gt;=1200,MODULO!$Q$11&lt;2200),2,IF(AND(MODULO!$Q$11&gt;=2200,MODULO!$Q$11&lt;3200),3,IF(AND(MODULO!$Q$11&gt;=3200,MODULO!$Q$11&lt;4200),4,IF(AND(MODULO!$Q$11&gt;=4200),5))))))</f>
        <v>1</v>
      </c>
      <c r="X113">
        <f>IF(MODULO!$AB$14&lt;&gt;"",MODULO!$AB$14,IF(AND(MODULO!$X$11&lt;1200),1,IF(AND(MODULO!$X$11&gt;=1200,MODULO!$X$11&lt;2200),2,IF(AND(MODULO!$X$11&gt;=2200,MODULO!$X$11&lt;3200),3,IF(AND(MODULO!$X$11&gt;=3200,MODULO!$X$11&lt;4200),4,IF(AND(MODULO!$X$11&gt;=4200),5))))))</f>
        <v>1</v>
      </c>
      <c r="Y113">
        <f>IF(MODULO!$AI$14&lt;&gt;"",MODULO!$AI$14,IF(AND(MODULO!$AE$11&lt;1200),1,IF(AND(MODULO!$AE$11&gt;=1200,MODULO!$AE$11&lt;2200),2,IF(AND(MODULO!$AE$11&gt;=2200,MODULO!$AE$11&lt;3200),3,IF(AND(MODULO!$AE$11&gt;=3200,MODULO!$AE$11&lt;4200),4,IF(AND(MODULO!$AE$11&gt;=4200),5))))))</f>
        <v>1</v>
      </c>
      <c r="Z113">
        <f>IF(MODULO!$AP$14&lt;&gt;"",MODULO!$AP$14,IF(AND(MODULO!$AL$11&lt;1200),1,IF(AND(MODULO!$AL$11&gt;=1200,MODULO!$AL$11&lt;2200),2,IF(AND(MODULO!$AL$11&gt;=2200,MODULO!$AL$11&lt;3200),3,IF(AND(MODULO!$AL$11&gt;=3200,MODULO!$AL$11&lt;4200),4,IF(AND(MODULO!$AL$11&gt;=4200),5))))))</f>
        <v>1</v>
      </c>
      <c r="AC113" t="s">
        <v>170</v>
      </c>
      <c r="AD113" s="111" t="s">
        <v>101</v>
      </c>
      <c r="AE113" s="111" t="s">
        <v>101</v>
      </c>
      <c r="AF113" s="111" t="s">
        <v>101</v>
      </c>
      <c r="AG113" s="111" t="s">
        <v>101</v>
      </c>
      <c r="AH113" s="45"/>
    </row>
    <row r="114" spans="1:34" x14ac:dyDescent="0.3">
      <c r="B114" s="28"/>
      <c r="C114" s="28"/>
      <c r="D114" s="26" t="s">
        <v>38</v>
      </c>
      <c r="E114" s="26"/>
      <c r="F114" s="26" t="s">
        <v>38</v>
      </c>
      <c r="G114" s="26"/>
      <c r="H114" s="26" t="s">
        <v>38</v>
      </c>
      <c r="I114" s="26"/>
      <c r="J114" s="26" t="s">
        <v>38</v>
      </c>
      <c r="K114" s="26"/>
      <c r="L114" s="26" t="s">
        <v>38</v>
      </c>
      <c r="M114" s="26"/>
      <c r="N114" s="26" t="s">
        <v>38</v>
      </c>
      <c r="O114" s="26"/>
      <c r="U114" t="s">
        <v>126</v>
      </c>
      <c r="V114">
        <f>IF(MODULO!$N$14&lt;&gt;"",MODULO!$N$14,IF(AND(MODULO!$J$11&lt;1200),3,IF(AND(MODULO!$J$11&gt;=1200,MODULO!$J$11&lt;1700),5,IF(AND(MODULO!$J$11&gt;=1700,MODULO!$J$11&lt;2200),6,IF(AND(MODULO!$J$11&gt;=2200,MODULO!$J$11&lt;2700),8,IF(AND(MODULO!$J$11&gt;=2700,MODULO!$J$11&lt;3200),9,IF(AND(MODULO!$J$11&gt;=3200,MODULO!$J$11&lt;3700),11,IF(AND(MODULO!$J$11&gt;=3700,MODULO!$J$11&lt;4200),12,IF(AND(MODULO!$J$11&gt;=4200),14)))))))))</f>
        <v>3</v>
      </c>
      <c r="W114">
        <f>IF(MODULO!$U$14&lt;&gt;"",MODULO!$U$14,IF(AND(MODULO!$Q$11&lt;1200),3,IF(AND(MODULO!$Q$11&gt;=1200,MODULO!$Q$11&lt;1700),5,IF(AND(MODULO!$Q$11&gt;=1700,MODULO!$Q$11&lt;2200),6,IF(AND(MODULO!$Q$11&gt;=2200,MODULO!$Q$11&lt;2700),8,IF(AND(MODULO!$Q$11&gt;=2700,MODULO!$Q$11&lt;3200),9,IF(AND(MODULO!$Q$11&gt;=3200,MODULO!$Q$11&lt;3700),11,IF(AND(MODULO!$Q$11&gt;=3700,MODULO!$Q$11&lt;4200),12,IF(AND(MODULO!$Q$11&gt;=4200),14)))))))))</f>
        <v>3</v>
      </c>
      <c r="X114">
        <f>IF(MODULO!$AB$14&lt;&gt;"",MODULO!$AB$14,IF(AND(MODULO!$X$11&lt;1200),3,IF(AND(MODULO!$X$11&gt;=1200,MODULO!$X$11&lt;1700),5,IF(AND(MODULO!$X$11&gt;=1700,MODULO!$X$11&lt;2200),6,IF(AND(MODULO!$X$11&gt;=2200,MODULO!$X$11&lt;2700),8,IF(AND(MODULO!$X$11&gt;=2700,MODULO!$X$11&lt;3200),9,IF(AND(MODULO!$X$11&gt;=3200,MODULO!$X$11&lt;3700),11,IF(AND(MODULO!$X$11&gt;=3700,MODULO!$X$11&lt;4200),12,IF(AND(MODULO!$X$11&gt;=4200),14)))))))))</f>
        <v>3</v>
      </c>
      <c r="Y114">
        <f>IF(MODULO!$AI$14&lt;&gt;"",MODULO!$AI$14,IF(AND(MODULO!$AE$11&lt;1200),3,IF(AND(MODULO!$AE$11&gt;=1200,MODULO!$AE$11&lt;1700),5,IF(AND(MODULO!$AE$11&gt;=1700,MODULO!$AE$11&lt;2200),6,IF(AND(MODULO!$AE$11&gt;=2200,MODULO!$AE$11&lt;2700),8,IF(AND(MODULO!$AE$11&gt;=2700,MODULO!$AE$11&lt;3200),9,IF(AND(MODULO!$AE$11&gt;=3200,MODULO!$AE$11&lt;3700),11,IF(AND(MODULO!$AE$11&gt;=3700,MODULO!$AE$11&lt;4200),12,IF(AND(MODULO!$AE$11&gt;=4200),14)))))))))</f>
        <v>3</v>
      </c>
      <c r="Z114">
        <f>IF(MODULO!$AP$14&lt;&gt;"",MODULO!$AP$14,IF(AND(MODULO!$AL$11&lt;1200),3,IF(AND(MODULO!$AL$11&gt;=1200,MODULO!$AL$11&lt;1700),5,IF(AND(MODULO!$AL$11&gt;=1700,MODULO!$AL$11&lt;2200),6,IF(AND(MODULO!$AL$11&gt;=2200,MODULO!$AL$11&lt;2700),8,IF(AND(MODULO!$AL$11&gt;=2700,MODULO!$AL$11&lt;3200),9,IF(AND(MODULO!$AL$11&gt;=3200,MODULO!$AL$11&lt;3700),11,IF(AND(MODULO!$AL$11&gt;=3700,MODULO!$AL$11&lt;4200),12,IF(AND(MODULO!$AL$11&gt;=4200),14)))))))))</f>
        <v>3</v>
      </c>
      <c r="AC114" t="s">
        <v>168</v>
      </c>
    </row>
    <row r="115" spans="1:34" x14ac:dyDescent="0.3">
      <c r="B115" s="28"/>
      <c r="C115" s="28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U115" t="s">
        <v>142</v>
      </c>
      <c r="V115">
        <f>IF(MODULO!$N$14&lt;&gt;"",MODULO!$N$14,IF(AND(MODULO!$J$11&lt;1200),3,IF(AND(MODULO!$J$11&gt;=1200,MODULO!$J$11&lt;1700),5,IF(AND(MODULO!$J$11&gt;=1700,MODULO!$J$11&lt;2200),6,IF(AND(MODULO!$J$11&gt;=2200,MODULO!$J$11&lt;2700),8,IF(AND(MODULO!$J$11&gt;=2700,MODULO!$J$11&lt;3200),9,IF(AND(MODULO!$J$11&gt;=3200,MODULO!$J$11&lt;3700),11,IF(AND(MODULO!$J$11&gt;=3700,MODULO!$J$11&lt;4200),12,IF(AND(MODULO!$J$11&gt;=4200),14)))))))))</f>
        <v>3</v>
      </c>
      <c r="W115">
        <f>IF(MODULO!$U$14&lt;&gt;"",MODULO!$U$14,IF(AND(MODULO!$Q$11&lt;1200),3,IF(AND(MODULO!$Q$11&gt;=1200,MODULO!$Q$11&lt;1700),5,IF(AND(MODULO!$Q$11&gt;=1700,MODULO!$Q$11&lt;2200),6,IF(AND(MODULO!$Q$11&gt;=2200,MODULO!$Q$11&lt;2700),8,IF(AND(MODULO!$Q$11&gt;=2700,MODULO!$Q$11&lt;3200),9,IF(AND(MODULO!$Q$11&gt;=3200,MODULO!$Q$11&lt;3700),11,IF(AND(MODULO!$Q$11&gt;=3700,MODULO!$Q$11&lt;4200),12,IF(AND(MODULO!$Q$11&gt;=4200),14)))))))))</f>
        <v>3</v>
      </c>
      <c r="X115">
        <f>IF(MODULO!$AB$14&lt;&gt;"",MODULO!$AB$14,IF(AND(MODULO!$X$11&lt;1200),3,IF(AND(MODULO!$X$11&gt;=1200,MODULO!$X$11&lt;1700),5,IF(AND(MODULO!$X$11&gt;=1700,MODULO!$X$11&lt;2200),6,IF(AND(MODULO!$X$11&gt;=2200,MODULO!$X$11&lt;2700),8,IF(AND(MODULO!$X$11&gt;=2700,MODULO!$X$11&lt;3200),9,IF(AND(MODULO!$X$11&gt;=3200,MODULO!$X$11&lt;3700),11,IF(AND(MODULO!$X$11&gt;=3700,MODULO!$X$11&lt;4200),12,IF(AND(MODULO!$X$11&gt;=4200),14)))))))))</f>
        <v>3</v>
      </c>
      <c r="Y115">
        <f>IF(MODULO!$AI$14&lt;&gt;"",MODULO!$AI$14,IF(AND(MODULO!$AE$11&lt;1200),3,IF(AND(MODULO!$AE$11&gt;=1200,MODULO!$AE$11&lt;1700),5,IF(AND(MODULO!$AE$11&gt;=1700,MODULO!$AE$11&lt;2200),6,IF(AND(MODULO!$AE$11&gt;=2200,MODULO!$AE$11&lt;2700),8,IF(AND(MODULO!$AE$11&gt;=2700,MODULO!$AE$11&lt;3200),9,IF(AND(MODULO!$AE$11&gt;=3200,MODULO!$AE$11&lt;3700),11,IF(AND(MODULO!$AE$11&gt;=3700,MODULO!$AE$11&lt;4200),12,IF(AND(MODULO!$AE$11&gt;=4200),14)))))))))</f>
        <v>3</v>
      </c>
      <c r="Z115">
        <f>IF(MODULO!$AP$14&lt;&gt;"",MODULO!$AP$14,IF(AND(MODULO!$AL$11&lt;1200),3,IF(AND(MODULO!$AL$11&gt;=1200,MODULO!$AL$11&lt;1700),5,IF(AND(MODULO!$AL$11&gt;=1700,MODULO!$AL$11&lt;2200),6,IF(AND(MODULO!$AL$11&gt;=2200,MODULO!$AL$11&lt;2700),8,IF(AND(MODULO!$AL$11&gt;=2700,MODULO!$AL$11&lt;3200),9,IF(AND(MODULO!$AL$11&gt;=3200,MODULO!$AL$11&lt;3700),11,IF(AND(MODULO!$AL$11&gt;=3700,MODULO!$AL$11&lt;4200),12,IF(AND(MODULO!$AL$11&gt;=4200),14)))))))))</f>
        <v>3</v>
      </c>
      <c r="AC115" t="s">
        <v>132</v>
      </c>
    </row>
    <row r="116" spans="1:34" x14ac:dyDescent="0.3">
      <c r="B116" s="28"/>
      <c r="C116" s="28"/>
      <c r="D116" s="29"/>
      <c r="E116" s="316" t="s">
        <v>43</v>
      </c>
      <c r="F116" s="316"/>
      <c r="G116" s="316"/>
      <c r="H116" s="316"/>
      <c r="I116" s="316"/>
      <c r="J116" s="316"/>
      <c r="K116" s="316"/>
      <c r="L116"/>
      <c r="M116"/>
      <c r="N116"/>
      <c r="O116"/>
      <c r="AC116" t="s">
        <v>106</v>
      </c>
    </row>
    <row r="117" spans="1:34" x14ac:dyDescent="0.3">
      <c r="A117" s="37" t="s">
        <v>54</v>
      </c>
      <c r="B117" s="38">
        <v>35</v>
      </c>
      <c r="C117" s="38"/>
      <c r="D117" s="38">
        <f>IF(E109&lt;1500,17.5,35)</f>
        <v>17.5</v>
      </c>
      <c r="E117" s="40">
        <f>(D117)+SUM(E111:E113)</f>
        <v>27.5</v>
      </c>
      <c r="F117" s="38">
        <f>IF(G109&lt;1500,17.5,35)</f>
        <v>17.5</v>
      </c>
      <c r="G117" s="40">
        <f>(F117)+SUM(G111:G113)</f>
        <v>27.5</v>
      </c>
      <c r="H117" s="38">
        <f>IF(I109&lt;1500,17.5,35)</f>
        <v>17.5</v>
      </c>
      <c r="I117" s="40">
        <f>(H117)+SUM(I111:I113)</f>
        <v>27.5</v>
      </c>
      <c r="J117" s="38">
        <f>IF(K109&lt;1500,17.5,35)</f>
        <v>17.5</v>
      </c>
      <c r="K117" s="41">
        <f>(J117)+SUM(K111:K113)</f>
        <v>27.5</v>
      </c>
      <c r="L117" s="38">
        <f>IF(M109&lt;1500,17.5,35)</f>
        <v>17.5</v>
      </c>
      <c r="M117" s="40">
        <f>(L117)+SUM(M111:M113)</f>
        <v>27.5</v>
      </c>
      <c r="N117" s="38">
        <f>IF(O109&lt;1500,17.5,35)</f>
        <v>17.5</v>
      </c>
      <c r="O117" s="41">
        <f>(N117)+SUM(O111:O113)</f>
        <v>27.5</v>
      </c>
      <c r="AC117" t="s">
        <v>142</v>
      </c>
    </row>
    <row r="118" spans="1:34" x14ac:dyDescent="0.3">
      <c r="A118" s="35" t="s">
        <v>45</v>
      </c>
      <c r="B118" s="28">
        <v>9</v>
      </c>
      <c r="C118" s="28"/>
      <c r="D118" s="29"/>
      <c r="E118" s="36">
        <f>B118/1000*E109</f>
        <v>0</v>
      </c>
      <c r="F118" s="29"/>
      <c r="G118" s="36">
        <f>B118/1000*G109</f>
        <v>0</v>
      </c>
      <c r="H118" s="29"/>
      <c r="I118" s="36">
        <f>$B$118/1000*I109</f>
        <v>0</v>
      </c>
      <c r="J118" s="29"/>
      <c r="K118" s="36">
        <f>$B$118/1000*K109</f>
        <v>0</v>
      </c>
      <c r="L118" s="29"/>
      <c r="M118" s="36">
        <f>$B$118/1000*M109</f>
        <v>0</v>
      </c>
      <c r="N118" s="29"/>
      <c r="O118" s="36">
        <f>$B$118/1000*O109</f>
        <v>0</v>
      </c>
      <c r="AC118" t="s">
        <v>143</v>
      </c>
    </row>
    <row r="119" spans="1:34" x14ac:dyDescent="0.3">
      <c r="AC119" t="s">
        <v>127</v>
      </c>
    </row>
    <row r="120" spans="1:34" s="61" customFormat="1" x14ac:dyDescent="0.3"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</row>
    <row r="122" spans="1:34" x14ac:dyDescent="0.3">
      <c r="A122" s="24" t="s">
        <v>142</v>
      </c>
      <c r="B122" s="115"/>
      <c r="C122" s="25"/>
      <c r="D122" s="26" t="s">
        <v>115</v>
      </c>
      <c r="E122" s="26" t="s">
        <v>19</v>
      </c>
      <c r="F122" s="26" t="s">
        <v>115</v>
      </c>
      <c r="G122" s="26" t="s">
        <v>20</v>
      </c>
      <c r="H122" s="26" t="s">
        <v>115</v>
      </c>
      <c r="I122" s="26" t="s">
        <v>21</v>
      </c>
      <c r="J122" s="26" t="s">
        <v>115</v>
      </c>
      <c r="K122" s="26" t="s">
        <v>22</v>
      </c>
      <c r="L122" s="26" t="s">
        <v>115</v>
      </c>
      <c r="M122" s="26" t="s">
        <v>23</v>
      </c>
      <c r="N122" s="26"/>
      <c r="O122" s="26" t="s">
        <v>24</v>
      </c>
    </row>
    <row r="123" spans="1:34" x14ac:dyDescent="0.3">
      <c r="A123" t="s">
        <v>33</v>
      </c>
      <c r="B123" s="28"/>
      <c r="C123" s="28"/>
      <c r="D123" s="29">
        <f>MODULO!$J$7</f>
        <v>0</v>
      </c>
      <c r="E123" s="30">
        <f>MODULO!$J$11</f>
        <v>0</v>
      </c>
      <c r="F123" s="29">
        <f>MODULO!$Q$7</f>
        <v>0</v>
      </c>
      <c r="G123" s="30">
        <f>MODULO!$Q$11</f>
        <v>0</v>
      </c>
      <c r="H123" s="29">
        <f>MODULO!$X$7</f>
        <v>0</v>
      </c>
      <c r="I123" s="30">
        <f>MODULO!$X$11</f>
        <v>0</v>
      </c>
      <c r="J123" s="29">
        <f>MODULO!$AE$7</f>
        <v>0</v>
      </c>
      <c r="K123" s="30">
        <f>MODULO!$AE$11</f>
        <v>0</v>
      </c>
      <c r="L123" s="29">
        <f>MODULO!$AL$7</f>
        <v>0</v>
      </c>
      <c r="M123" s="30">
        <f>MODULO!$AL$11</f>
        <v>0</v>
      </c>
      <c r="N123" s="29"/>
      <c r="O123" s="30"/>
    </row>
    <row r="124" spans="1:34" x14ac:dyDescent="0.3">
      <c r="B124" s="28"/>
      <c r="C124" s="28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34" x14ac:dyDescent="0.3">
      <c r="A125" t="s">
        <v>34</v>
      </c>
      <c r="B125" s="28">
        <v>20</v>
      </c>
      <c r="C125" s="28"/>
      <c r="D125" s="29"/>
      <c r="E125" s="29">
        <f>$B125</f>
        <v>20</v>
      </c>
      <c r="F125" s="29"/>
      <c r="G125" s="29">
        <f>$B125</f>
        <v>20</v>
      </c>
      <c r="H125" s="29"/>
      <c r="I125" s="29">
        <f>$B125</f>
        <v>20</v>
      </c>
      <c r="J125" s="29"/>
      <c r="K125" s="29">
        <f>$B125</f>
        <v>20</v>
      </c>
      <c r="L125" s="29"/>
      <c r="M125" s="29">
        <f>$B125</f>
        <v>20</v>
      </c>
      <c r="N125" s="29"/>
      <c r="O125" s="29">
        <f>$B125</f>
        <v>20</v>
      </c>
    </row>
    <row r="126" spans="1:34" x14ac:dyDescent="0.3">
      <c r="A126" t="s">
        <v>140</v>
      </c>
      <c r="B126" s="28">
        <v>14.4</v>
      </c>
      <c r="C126" s="28"/>
      <c r="D126" s="29"/>
      <c r="E126" s="29">
        <f>$B126/3000*E123</f>
        <v>0</v>
      </c>
      <c r="F126" s="29"/>
      <c r="G126" s="29">
        <f>$B126/3000*G123</f>
        <v>0</v>
      </c>
      <c r="H126" s="29"/>
      <c r="I126" s="29">
        <f>$B126/3000*I123</f>
        <v>0</v>
      </c>
      <c r="J126" s="29"/>
      <c r="K126" s="29">
        <f>$B126/3000*K123</f>
        <v>0</v>
      </c>
      <c r="L126" s="29"/>
      <c r="M126" s="29">
        <f>$B126/3000*M123</f>
        <v>0</v>
      </c>
      <c r="N126" s="29"/>
      <c r="O126" s="29">
        <f>$B126/3000*O123</f>
        <v>0</v>
      </c>
    </row>
    <row r="127" spans="1:34" x14ac:dyDescent="0.3">
      <c r="A127" t="s">
        <v>37</v>
      </c>
      <c r="B127" s="28">
        <v>0.35</v>
      </c>
      <c r="C127" s="104"/>
      <c r="D127" s="29"/>
      <c r="E127" s="29">
        <f>IF(MODULO!$J$9="SI",$B$127,0)</f>
        <v>0</v>
      </c>
      <c r="F127" s="29"/>
      <c r="G127" s="29">
        <f>IF(MODULO!$Q$9="SI",$B$127,0)</f>
        <v>0</v>
      </c>
      <c r="H127" s="29"/>
      <c r="I127" s="29">
        <f>IF(MODULO!$X$9="SI",$B$127,0)</f>
        <v>0</v>
      </c>
      <c r="J127" s="29"/>
      <c r="K127" s="29">
        <f>IF(MODULO!$AE$9="SI",$B$127,0)</f>
        <v>0</v>
      </c>
      <c r="L127" s="29"/>
      <c r="M127" s="29">
        <f>IF(MODULO!$AL$9="SI",$B$127,0)</f>
        <v>0</v>
      </c>
      <c r="N127" s="29"/>
      <c r="O127" s="29"/>
    </row>
    <row r="128" spans="1:34" x14ac:dyDescent="0.3">
      <c r="B128" s="28"/>
      <c r="C128" s="28"/>
      <c r="D128" s="26" t="s">
        <v>38</v>
      </c>
      <c r="E128" s="26"/>
      <c r="F128" s="26" t="s">
        <v>38</v>
      </c>
      <c r="G128" s="26"/>
      <c r="H128" s="26" t="s">
        <v>38</v>
      </c>
      <c r="I128" s="26"/>
      <c r="J128" s="26" t="s">
        <v>38</v>
      </c>
      <c r="K128" s="26"/>
      <c r="L128" s="26" t="s">
        <v>38</v>
      </c>
      <c r="M128" s="26"/>
      <c r="N128" s="26" t="s">
        <v>38</v>
      </c>
      <c r="O128" s="26"/>
    </row>
    <row r="129" spans="1:15" x14ac:dyDescent="0.3">
      <c r="A129" t="s">
        <v>39</v>
      </c>
      <c r="B129" s="28">
        <v>1.94</v>
      </c>
      <c r="C129" s="28"/>
      <c r="D129" s="31">
        <f>IF(MODULO!$J$10="CAVO",1,0)</f>
        <v>0</v>
      </c>
      <c r="E129" s="29">
        <f>$B129*D129</f>
        <v>0</v>
      </c>
      <c r="F129" s="31">
        <f>IF(MODULO!$Q$10="CAVO",1,0)</f>
        <v>0</v>
      </c>
      <c r="G129" s="29">
        <f>$B129*F129</f>
        <v>0</v>
      </c>
      <c r="H129" s="31">
        <f>IF(MODULO!$X$10="CAVO",1,0)</f>
        <v>0</v>
      </c>
      <c r="I129" s="29">
        <f>$B129*H129</f>
        <v>0</v>
      </c>
      <c r="J129" s="31">
        <f>IF(MODULO!$AE$10="CAVO",1,0)</f>
        <v>0</v>
      </c>
      <c r="K129" s="29">
        <f>$B129*J129</f>
        <v>0</v>
      </c>
      <c r="L129" s="31">
        <f>IF(MODULO!$AL$10="CAVO",1,0)</f>
        <v>0</v>
      </c>
      <c r="M129" s="29">
        <f>$B129*L129</f>
        <v>0</v>
      </c>
      <c r="N129" s="31"/>
      <c r="O129" s="29">
        <f>$B129*N129</f>
        <v>0</v>
      </c>
    </row>
    <row r="130" spans="1:15" x14ac:dyDescent="0.3">
      <c r="A130" t="s">
        <v>52</v>
      </c>
      <c r="B130" s="28">
        <v>0.2</v>
      </c>
      <c r="C130" s="28"/>
      <c r="D130" s="31">
        <f>IF(MODULO!$L$14&lt;&gt;"",MODULO!$L$14/D123,0)</f>
        <v>0</v>
      </c>
      <c r="E130" s="29">
        <f>$B130*D130</f>
        <v>0</v>
      </c>
      <c r="F130" s="31">
        <f>IF(MODULO!$S$14&lt;&gt;"",MODULO!$S$14/F123,0)</f>
        <v>0</v>
      </c>
      <c r="G130" s="29">
        <f>$B130*F130</f>
        <v>0</v>
      </c>
      <c r="H130" s="31">
        <f>IF(MODULO!$Z$14&lt;&gt;"",MODULO!$Z$14/H123,0)</f>
        <v>0</v>
      </c>
      <c r="I130" s="29">
        <f>$B130*H130</f>
        <v>0</v>
      </c>
      <c r="J130" s="31">
        <f>IF(MODULO!$AG$14&lt;&gt;"",MODULO!$AG$14/J123,0)</f>
        <v>0</v>
      </c>
      <c r="K130" s="29">
        <f>$B130*J130</f>
        <v>0</v>
      </c>
      <c r="L130" s="31">
        <f>IF(MODULO!$AN$14&lt;&gt;"",MODULO!$AN$14/L123,0)</f>
        <v>0</v>
      </c>
      <c r="M130" s="29">
        <f>$B130*L130</f>
        <v>0</v>
      </c>
      <c r="N130" s="31"/>
      <c r="O130" s="29">
        <f>$B130*N130</f>
        <v>0</v>
      </c>
    </row>
    <row r="131" spans="1:15" x14ac:dyDescent="0.3">
      <c r="A131" t="s">
        <v>41</v>
      </c>
      <c r="B131" s="28">
        <v>10.86</v>
      </c>
      <c r="C131" s="28"/>
      <c r="D131" s="31">
        <f>IF(MODULO!$J$10="TOUCH INTEGRATO",1,0)</f>
        <v>0</v>
      </c>
      <c r="E131" s="29">
        <f>$B131*D131</f>
        <v>0</v>
      </c>
      <c r="F131" s="31">
        <f>IF(MODULO!$Q$10="TOUCH INTEGRATO",1,0)</f>
        <v>0</v>
      </c>
      <c r="G131" s="29">
        <f>$B131*F131</f>
        <v>0</v>
      </c>
      <c r="H131" s="31">
        <f>IF(MODULO!$X$10="TOUCH INTEGRATO",1,0)</f>
        <v>0</v>
      </c>
      <c r="I131" s="29">
        <f>$B131*H131</f>
        <v>0</v>
      </c>
      <c r="J131" s="31">
        <f>IF(MODULO!$AE$10="TOUCH INTEGRATO",1,0)</f>
        <v>0</v>
      </c>
      <c r="K131" s="29">
        <f>$B131*J131</f>
        <v>0</v>
      </c>
      <c r="L131" s="31">
        <f>IF(MODULO!$AL$10="TOUCH INTEGRATO",1,0)</f>
        <v>0</v>
      </c>
      <c r="M131" s="29">
        <f>$B131*L131</f>
        <v>0</v>
      </c>
      <c r="N131" s="31"/>
      <c r="O131" s="29">
        <f>$B131*N131</f>
        <v>0</v>
      </c>
    </row>
    <row r="132" spans="1:15" x14ac:dyDescent="0.3">
      <c r="B132" s="28"/>
      <c r="C132" s="28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x14ac:dyDescent="0.3">
      <c r="B133" s="28"/>
      <c r="C133" s="28"/>
      <c r="D133" s="29"/>
      <c r="E133" s="316" t="s">
        <v>43</v>
      </c>
      <c r="F133" s="316"/>
      <c r="G133" s="316"/>
      <c r="H133" s="316"/>
      <c r="I133" s="316"/>
      <c r="J133" s="316"/>
      <c r="K133" s="316"/>
      <c r="L133" s="27"/>
      <c r="M133"/>
      <c r="N133"/>
      <c r="O133"/>
    </row>
    <row r="134" spans="1:15" x14ac:dyDescent="0.3">
      <c r="A134" s="37" t="s">
        <v>141</v>
      </c>
      <c r="B134" s="38">
        <v>49.5</v>
      </c>
      <c r="C134" s="38"/>
      <c r="D134" s="39"/>
      <c r="E134" s="40">
        <f>($B134/5000*E123)+SUM(E125:E131)</f>
        <v>20</v>
      </c>
      <c r="F134" s="39"/>
      <c r="G134" s="40">
        <f>($B134/5000*G123)+SUM(G125:G131)</f>
        <v>20</v>
      </c>
      <c r="H134" s="39"/>
      <c r="I134" s="40">
        <f>($B134/5000*I123)+SUM(I125:I131)</f>
        <v>20</v>
      </c>
      <c r="J134" s="39"/>
      <c r="K134" s="40">
        <f>($B134/5000*K123)+SUM(K125:K131)</f>
        <v>20</v>
      </c>
      <c r="L134" s="39"/>
      <c r="M134" s="40">
        <f>($B134/5000*M123)+SUM(M125:M131)</f>
        <v>20</v>
      </c>
      <c r="N134" s="39"/>
      <c r="O134" s="40">
        <f>($B134/5000*O123)+SUM(O125:O131)</f>
        <v>20</v>
      </c>
    </row>
    <row r="135" spans="1:15" x14ac:dyDescent="0.3">
      <c r="A135" s="35" t="s">
        <v>45</v>
      </c>
      <c r="B135" s="28">
        <v>10</v>
      </c>
      <c r="C135" s="28"/>
      <c r="D135" s="29"/>
      <c r="E135" s="36">
        <f>$B135/1000*E123</f>
        <v>0</v>
      </c>
      <c r="F135" s="29"/>
      <c r="G135" s="36">
        <f>$B135/1000*G123</f>
        <v>0</v>
      </c>
      <c r="H135" s="29"/>
      <c r="I135" s="36">
        <f>$B135/1000*I123</f>
        <v>0</v>
      </c>
      <c r="J135" s="29"/>
      <c r="K135" s="36">
        <f>$B135/1000*K123</f>
        <v>0</v>
      </c>
      <c r="L135" s="29"/>
      <c r="M135" s="36">
        <f>$B135/1000*M123</f>
        <v>0</v>
      </c>
      <c r="N135" s="29"/>
      <c r="O135" s="36">
        <f>$B135/1000*O123</f>
        <v>0</v>
      </c>
    </row>
    <row r="136" spans="1:15" x14ac:dyDescent="0.3">
      <c r="A136" s="46"/>
      <c r="B136" s="28"/>
      <c r="C136" s="28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s="47" customFormat="1" x14ac:dyDescent="0.3">
      <c r="B137" s="48"/>
      <c r="C137" s="48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</row>
    <row r="139" spans="1:15" x14ac:dyDescent="0.3">
      <c r="A139" s="24" t="s">
        <v>143</v>
      </c>
      <c r="B139" s="115"/>
      <c r="C139" s="25"/>
      <c r="D139" s="26" t="s">
        <v>115</v>
      </c>
      <c r="E139" s="26" t="s">
        <v>19</v>
      </c>
      <c r="F139" s="26" t="s">
        <v>115</v>
      </c>
      <c r="G139" s="26" t="s">
        <v>20</v>
      </c>
      <c r="H139" s="26" t="s">
        <v>115</v>
      </c>
      <c r="I139" s="26" t="s">
        <v>21</v>
      </c>
      <c r="J139" s="26" t="s">
        <v>115</v>
      </c>
      <c r="K139" s="26" t="s">
        <v>22</v>
      </c>
      <c r="L139" s="26" t="s">
        <v>115</v>
      </c>
      <c r="M139" s="26" t="s">
        <v>23</v>
      </c>
      <c r="N139" s="26"/>
      <c r="O139" s="26" t="s">
        <v>24</v>
      </c>
    </row>
    <row r="140" spans="1:15" x14ac:dyDescent="0.3">
      <c r="A140" t="s">
        <v>33</v>
      </c>
      <c r="B140" s="28"/>
      <c r="C140" s="28"/>
      <c r="D140" s="29">
        <f>MODULO!$J$7</f>
        <v>0</v>
      </c>
      <c r="E140" s="30">
        <f>MODULO!$J$11</f>
        <v>0</v>
      </c>
      <c r="F140" s="29">
        <f>MODULO!$Q$7</f>
        <v>0</v>
      </c>
      <c r="G140" s="30">
        <f>MODULO!$Q$11</f>
        <v>0</v>
      </c>
      <c r="H140" s="29">
        <f>MODULO!$X$7</f>
        <v>0</v>
      </c>
      <c r="I140" s="30">
        <f>MODULO!$X$11</f>
        <v>0</v>
      </c>
      <c r="J140" s="29">
        <f>MODULO!$AE$7</f>
        <v>0</v>
      </c>
      <c r="K140" s="30">
        <f>MODULO!$AE$11</f>
        <v>0</v>
      </c>
      <c r="L140" s="29">
        <f>MODULO!$AL$7</f>
        <v>0</v>
      </c>
      <c r="M140" s="30">
        <f>MODULO!$AL$11</f>
        <v>0</v>
      </c>
      <c r="N140" s="29"/>
      <c r="O140" s="30"/>
    </row>
    <row r="141" spans="1:15" x14ac:dyDescent="0.3">
      <c r="B141" s="28"/>
      <c r="C141" s="28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</row>
    <row r="142" spans="1:15" x14ac:dyDescent="0.3">
      <c r="A142" t="s">
        <v>34</v>
      </c>
      <c r="B142" s="28">
        <v>20</v>
      </c>
      <c r="C142" s="28"/>
      <c r="D142" s="29"/>
      <c r="E142" s="29">
        <f>$B142</f>
        <v>20</v>
      </c>
      <c r="F142" s="29"/>
      <c r="G142" s="29">
        <f>$B142</f>
        <v>20</v>
      </c>
      <c r="H142" s="29"/>
      <c r="I142" s="29">
        <f>$B142</f>
        <v>20</v>
      </c>
      <c r="J142" s="29"/>
      <c r="K142" s="29">
        <f>$B142</f>
        <v>20</v>
      </c>
      <c r="L142" s="29"/>
      <c r="M142" s="29">
        <f>$B142</f>
        <v>20</v>
      </c>
      <c r="N142" s="29"/>
      <c r="O142" s="29">
        <f>$B142</f>
        <v>20</v>
      </c>
    </row>
    <row r="143" spans="1:15" x14ac:dyDescent="0.3">
      <c r="A143" t="s">
        <v>140</v>
      </c>
      <c r="B143" s="28">
        <v>14.4</v>
      </c>
      <c r="C143" s="28"/>
      <c r="D143" s="29"/>
      <c r="E143" s="29">
        <f>$B143/3000*E140</f>
        <v>0</v>
      </c>
      <c r="F143" s="29"/>
      <c r="G143" s="29">
        <f>$B143/3000*G140</f>
        <v>0</v>
      </c>
      <c r="H143" s="29"/>
      <c r="I143" s="29">
        <f>$B143/3000*I140</f>
        <v>0</v>
      </c>
      <c r="J143" s="29"/>
      <c r="K143" s="29">
        <f>$B143/3000*K140</f>
        <v>0</v>
      </c>
      <c r="L143" s="29"/>
      <c r="M143" s="29">
        <f>$B143/3000*M140</f>
        <v>0</v>
      </c>
      <c r="N143" s="29"/>
      <c r="O143" s="29">
        <f>$B143/3000*O140</f>
        <v>0</v>
      </c>
    </row>
    <row r="144" spans="1:15" x14ac:dyDescent="0.3">
      <c r="B144" s="28"/>
      <c r="C144" s="28"/>
      <c r="D144" s="26" t="s">
        <v>38</v>
      </c>
      <c r="E144" s="26"/>
      <c r="F144" s="26" t="s">
        <v>38</v>
      </c>
      <c r="G144" s="26"/>
      <c r="H144" s="26" t="s">
        <v>38</v>
      </c>
      <c r="I144" s="26"/>
      <c r="J144" s="26" t="s">
        <v>38</v>
      </c>
      <c r="K144" s="26"/>
      <c r="L144" s="26" t="s">
        <v>38</v>
      </c>
      <c r="M144" s="26"/>
      <c r="N144" s="26" t="s">
        <v>38</v>
      </c>
      <c r="O144" s="26"/>
    </row>
    <row r="145" spans="1:36" x14ac:dyDescent="0.3">
      <c r="A145" t="s">
        <v>39</v>
      </c>
      <c r="B145" s="28">
        <v>1.94</v>
      </c>
      <c r="C145" s="28"/>
      <c r="D145" s="31">
        <f>IF(MODULO!$J$10="CAVO",1,0)</f>
        <v>0</v>
      </c>
      <c r="E145" s="29">
        <f>$B145*D145</f>
        <v>0</v>
      </c>
      <c r="F145" s="31">
        <f>IF(MODULO!$Q$10="CAVO",1,0)</f>
        <v>0</v>
      </c>
      <c r="G145" s="29">
        <f>$B145*F145</f>
        <v>0</v>
      </c>
      <c r="H145" s="31">
        <f>IF(MODULO!$X$10="CAVO",1,0)</f>
        <v>0</v>
      </c>
      <c r="I145" s="29">
        <f>$B145*H145</f>
        <v>0</v>
      </c>
      <c r="J145" s="31">
        <f>IF(MODULO!$AE$10="CAVO",1,0)</f>
        <v>0</v>
      </c>
      <c r="K145" s="29">
        <f>$B145*J145</f>
        <v>0</v>
      </c>
      <c r="L145" s="31">
        <f>IF(MODULO!$AL$10="CAVO",1,0)</f>
        <v>0</v>
      </c>
      <c r="M145" s="29">
        <f>$B145*L145</f>
        <v>0</v>
      </c>
      <c r="N145" s="31"/>
      <c r="O145" s="29">
        <f>$B145*N145</f>
        <v>0</v>
      </c>
    </row>
    <row r="146" spans="1:36" x14ac:dyDescent="0.3">
      <c r="A146" t="s">
        <v>52</v>
      </c>
      <c r="B146" s="28">
        <v>0.2</v>
      </c>
      <c r="C146" s="28"/>
      <c r="D146" s="31">
        <f>IF(MODULO!$L$14&lt;&gt;"",MODULO!$L$14/D140,0)</f>
        <v>0</v>
      </c>
      <c r="E146" s="29">
        <f>$B146*D146</f>
        <v>0</v>
      </c>
      <c r="F146" s="31">
        <f>IF(MODULO!$S$14&lt;&gt;"",MODULO!$S$14/F140,0)</f>
        <v>0</v>
      </c>
      <c r="G146" s="29">
        <f>$B146*F146</f>
        <v>0</v>
      </c>
      <c r="H146" s="31">
        <f>IF(MODULO!$Z$14&lt;&gt;"",MODULO!$Z$14/H140,0)</f>
        <v>0</v>
      </c>
      <c r="I146" s="29">
        <f>$B146*H146</f>
        <v>0</v>
      </c>
      <c r="J146" s="31">
        <f>IF(MODULO!$AG$14&lt;&gt;"",MODULO!$AG$14/J140,0)</f>
        <v>0</v>
      </c>
      <c r="K146" s="29">
        <f>$B146*J146</f>
        <v>0</v>
      </c>
      <c r="L146" s="31">
        <f>IF(MODULO!$AN$14&lt;&gt;"",MODULO!$AN$14/L140,0)</f>
        <v>0</v>
      </c>
      <c r="M146" s="29">
        <f>$B146*L146</f>
        <v>0</v>
      </c>
      <c r="N146" s="31"/>
      <c r="O146" s="29">
        <f>$B146*N146</f>
        <v>0</v>
      </c>
    </row>
    <row r="147" spans="1:36" x14ac:dyDescent="0.3">
      <c r="A147" t="s">
        <v>41</v>
      </c>
      <c r="B147" s="28">
        <v>10.86</v>
      </c>
      <c r="C147" s="28"/>
      <c r="D147" s="31">
        <f>IF(MODULO!$J$10="TOUCH INTEGRATO",1,0)</f>
        <v>0</v>
      </c>
      <c r="E147" s="29">
        <f>$B147*D147</f>
        <v>0</v>
      </c>
      <c r="F147" s="31">
        <f>IF(MODULO!$Q$10="TOUCH INTEGRATO",1,0)</f>
        <v>0</v>
      </c>
      <c r="G147" s="29">
        <f>$B147*F147</f>
        <v>0</v>
      </c>
      <c r="H147" s="31">
        <f>IF(MODULO!$X$10="TOUCH INTEGRATO",1,0)</f>
        <v>0</v>
      </c>
      <c r="I147" s="29">
        <f>$B147*H147</f>
        <v>0</v>
      </c>
      <c r="J147" s="31">
        <f>IF(MODULO!$AE$10="TOUCH INTEGRATO",1,0)</f>
        <v>0</v>
      </c>
      <c r="K147" s="29">
        <f>$B147*J147</f>
        <v>0</v>
      </c>
      <c r="L147" s="31">
        <f>IF(MODULO!$AL$10="TOUCH INTEGRATO",1,0)</f>
        <v>0</v>
      </c>
      <c r="M147" s="29">
        <f>$B147*L147</f>
        <v>0</v>
      </c>
      <c r="N147" s="31"/>
      <c r="O147" s="29">
        <f>$B147*N147</f>
        <v>0</v>
      </c>
    </row>
    <row r="148" spans="1:36" x14ac:dyDescent="0.3">
      <c r="B148" s="28"/>
      <c r="C148" s="28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</row>
    <row r="149" spans="1:36" x14ac:dyDescent="0.3">
      <c r="B149" s="28"/>
      <c r="C149" s="28"/>
      <c r="D149" s="29"/>
      <c r="E149" s="316" t="s">
        <v>43</v>
      </c>
      <c r="F149" s="316"/>
      <c r="G149" s="316"/>
      <c r="H149" s="316"/>
      <c r="I149" s="316"/>
      <c r="J149" s="316"/>
      <c r="K149" s="316"/>
      <c r="L149" s="27"/>
      <c r="M149"/>
      <c r="N149"/>
      <c r="O149"/>
    </row>
    <row r="150" spans="1:36" x14ac:dyDescent="0.3">
      <c r="A150" s="37" t="s">
        <v>141</v>
      </c>
      <c r="B150" s="38">
        <v>49.5</v>
      </c>
      <c r="C150" s="38"/>
      <c r="D150" s="39"/>
      <c r="E150" s="40">
        <f>($B150/5000*E140)+SUM(E142:E147)</f>
        <v>20</v>
      </c>
      <c r="F150" s="39"/>
      <c r="G150" s="40">
        <f>($B150/5000*G140)+SUM(G142:G147)</f>
        <v>20</v>
      </c>
      <c r="H150" s="39"/>
      <c r="I150" s="40">
        <f>($B150/5000*I140)+SUM(I142:I147)</f>
        <v>20</v>
      </c>
      <c r="J150" s="39"/>
      <c r="K150" s="40">
        <f>($B150/5000*K140)+SUM(K142:K147)</f>
        <v>20</v>
      </c>
      <c r="L150" s="39"/>
      <c r="M150" s="40">
        <f>($B150/5000*M140)+SUM(M142:M147)</f>
        <v>20</v>
      </c>
      <c r="N150" s="39"/>
      <c r="O150" s="40">
        <f>($B150/5000*O140)+SUM(O142:O147)</f>
        <v>20</v>
      </c>
    </row>
    <row r="151" spans="1:36" x14ac:dyDescent="0.3">
      <c r="A151" s="35" t="s">
        <v>45</v>
      </c>
      <c r="B151" s="28">
        <v>10</v>
      </c>
      <c r="C151" s="28"/>
      <c r="D151" s="29"/>
      <c r="E151" s="36">
        <f>$B151/1000*E138</f>
        <v>0</v>
      </c>
      <c r="F151" s="29"/>
      <c r="G151" s="36">
        <f>$B151/1000*G138</f>
        <v>0</v>
      </c>
      <c r="H151" s="29"/>
      <c r="I151" s="36">
        <f>$B151/1000*I138</f>
        <v>0</v>
      </c>
      <c r="J151" s="29"/>
      <c r="K151" s="36">
        <f>$B151/1000*K138</f>
        <v>0</v>
      </c>
      <c r="L151" s="29"/>
      <c r="M151" s="36">
        <f>$B151/1000*M138</f>
        <v>0</v>
      </c>
      <c r="N151" s="29"/>
      <c r="O151" s="36">
        <f>$B151/1000*O138</f>
        <v>0</v>
      </c>
    </row>
    <row r="152" spans="1:36" x14ac:dyDescent="0.3">
      <c r="A152" s="46"/>
      <c r="B152" s="28"/>
      <c r="C152" s="28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</row>
    <row r="153" spans="1:36" s="47" customFormat="1" x14ac:dyDescent="0.3">
      <c r="B153" s="48"/>
      <c r="C153" s="48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</row>
    <row r="154" spans="1:36" x14ac:dyDescent="0.3">
      <c r="A154" s="62"/>
      <c r="B154" s="63"/>
      <c r="C154" s="63"/>
      <c r="D154" s="64"/>
      <c r="E154" s="64"/>
      <c r="F154" s="319" t="s">
        <v>55</v>
      </c>
      <c r="G154" s="320"/>
      <c r="H154" s="320"/>
      <c r="L154"/>
      <c r="AC154" s="73"/>
      <c r="AE154" s="73"/>
    </row>
    <row r="155" spans="1:36" x14ac:dyDescent="0.3">
      <c r="A155" s="65" t="s">
        <v>56</v>
      </c>
      <c r="B155" s="24" t="s">
        <v>57</v>
      </c>
      <c r="C155" s="24" t="s">
        <v>58</v>
      </c>
      <c r="D155" s="66" t="s">
        <v>59</v>
      </c>
      <c r="E155" s="66" t="s">
        <v>60</v>
      </c>
      <c r="F155" s="67" t="s">
        <v>61</v>
      </c>
      <c r="G155" s="24" t="s">
        <v>62</v>
      </c>
      <c r="H155" s="24" t="s">
        <v>63</v>
      </c>
      <c r="I155" s="46"/>
      <c r="J155" s="318" t="s">
        <v>69</v>
      </c>
      <c r="K155" s="318"/>
      <c r="L155" s="24" t="s">
        <v>73</v>
      </c>
      <c r="M155" s="317" t="s">
        <v>58</v>
      </c>
      <c r="N155" s="317"/>
      <c r="O155" s="66" t="s">
        <v>59</v>
      </c>
      <c r="X155" s="78"/>
      <c r="AA155" s="78"/>
      <c r="AD155" s="314"/>
      <c r="AG155" s="78"/>
      <c r="AJ155" s="78"/>
    </row>
    <row r="156" spans="1:36" x14ac:dyDescent="0.3">
      <c r="A156" s="68"/>
      <c r="B156" s="46"/>
      <c r="C156" s="46"/>
      <c r="D156" s="46"/>
      <c r="E156" s="46"/>
      <c r="F156" s="23"/>
      <c r="G156" s="46"/>
      <c r="H156" s="46"/>
      <c r="L156" s="46"/>
      <c r="X156" s="78"/>
      <c r="AA156" s="78"/>
      <c r="AD156" s="315"/>
      <c r="AG156" s="78"/>
      <c r="AJ156" s="78"/>
    </row>
    <row r="157" spans="1:36" ht="15" thickBot="1" x14ac:dyDescent="0.35">
      <c r="A157" s="65" t="s">
        <v>64</v>
      </c>
      <c r="B157" s="46">
        <v>18</v>
      </c>
      <c r="C157" s="46">
        <v>24</v>
      </c>
      <c r="D157" s="46">
        <v>12.58</v>
      </c>
      <c r="E157" s="313">
        <f>SUM(D157+D158)</f>
        <v>16.12</v>
      </c>
      <c r="F157" s="23">
        <v>110</v>
      </c>
      <c r="G157" s="46">
        <v>75</v>
      </c>
      <c r="H157" s="46">
        <v>16</v>
      </c>
      <c r="I157" s="81"/>
      <c r="J157" s="81" t="s">
        <v>68</v>
      </c>
      <c r="K157" s="65" t="s">
        <v>75</v>
      </c>
      <c r="L157" s="46">
        <v>60</v>
      </c>
      <c r="M157" s="69" t="s">
        <v>72</v>
      </c>
      <c r="N157" s="58">
        <v>24</v>
      </c>
      <c r="O157" s="58">
        <v>12.45</v>
      </c>
      <c r="X157" s="78"/>
      <c r="AA157" s="78"/>
      <c r="AC157" s="73"/>
      <c r="AD157" s="112" t="str">
        <f>SUBSTITUTE($AD$158," ","_")</f>
        <v>0</v>
      </c>
      <c r="AE157" s="73"/>
      <c r="AG157" s="78"/>
      <c r="AJ157" s="78"/>
    </row>
    <row r="158" spans="1:36" ht="15" thickBot="1" x14ac:dyDescent="0.35">
      <c r="A158" s="68" t="s">
        <v>79</v>
      </c>
      <c r="B158" s="46"/>
      <c r="C158" s="46">
        <v>24</v>
      </c>
      <c r="D158" s="46">
        <v>3.54</v>
      </c>
      <c r="E158" s="313"/>
      <c r="F158" s="23">
        <v>60</v>
      </c>
      <c r="G158" s="46">
        <v>75</v>
      </c>
      <c r="H158" s="46">
        <v>16</v>
      </c>
      <c r="L158" s="46"/>
      <c r="U158" s="135"/>
      <c r="V158" s="132"/>
      <c r="W158" s="136"/>
      <c r="X158" s="77"/>
      <c r="Y158" s="135" t="s">
        <v>178</v>
      </c>
      <c r="Z158" s="132"/>
      <c r="AA158" s="142"/>
      <c r="AB158" s="136"/>
      <c r="AD158" s="112">
        <f>MODULO!$Q$4</f>
        <v>0</v>
      </c>
      <c r="AG158" s="77"/>
      <c r="AJ158" s="77"/>
    </row>
    <row r="159" spans="1:36" x14ac:dyDescent="0.3">
      <c r="B159" s="46"/>
      <c r="C159" s="46"/>
      <c r="D159" s="46"/>
      <c r="E159" s="46"/>
      <c r="F159" s="23"/>
      <c r="G159" s="46"/>
      <c r="H159" s="46"/>
      <c r="I159" s="81"/>
      <c r="J159" s="81" t="s">
        <v>114</v>
      </c>
      <c r="K159" s="65" t="s">
        <v>76</v>
      </c>
      <c r="L159" s="46">
        <v>48</v>
      </c>
      <c r="M159" s="69" t="s">
        <v>72</v>
      </c>
      <c r="N159" s="58">
        <v>24</v>
      </c>
      <c r="O159" s="58">
        <v>16.5</v>
      </c>
      <c r="U159" s="137"/>
      <c r="W159" s="138"/>
      <c r="Y159" s="137"/>
      <c r="AB159" s="138"/>
    </row>
    <row r="160" spans="1:36" x14ac:dyDescent="0.3">
      <c r="A160" s="65" t="s">
        <v>65</v>
      </c>
      <c r="B160" s="46">
        <v>48</v>
      </c>
      <c r="C160" s="46">
        <v>24</v>
      </c>
      <c r="D160" s="46">
        <v>26.96</v>
      </c>
      <c r="E160" s="313">
        <f>SUM(D160+D161)</f>
        <v>30.5</v>
      </c>
      <c r="F160" s="23">
        <v>160</v>
      </c>
      <c r="G160" s="46">
        <v>75</v>
      </c>
      <c r="H160" s="46">
        <v>16</v>
      </c>
      <c r="L160" s="46"/>
      <c r="S160">
        <v>1.69</v>
      </c>
      <c r="T160" t="s">
        <v>136</v>
      </c>
      <c r="U160" s="137" t="s">
        <v>175</v>
      </c>
      <c r="W160" s="138"/>
      <c r="X160" t="s">
        <v>181</v>
      </c>
      <c r="Y160" s="137"/>
      <c r="AB160" s="138"/>
    </row>
    <row r="161" spans="1:28" x14ac:dyDescent="0.3">
      <c r="A161" s="68" t="s">
        <v>79</v>
      </c>
      <c r="B161" s="46"/>
      <c r="C161" s="46">
        <v>24</v>
      </c>
      <c r="D161" s="46">
        <v>3.54</v>
      </c>
      <c r="E161" s="313"/>
      <c r="F161" s="23">
        <v>60</v>
      </c>
      <c r="G161" s="46">
        <v>75</v>
      </c>
      <c r="H161" s="46">
        <v>16</v>
      </c>
      <c r="I161" s="81"/>
      <c r="J161" s="81" t="s">
        <v>71</v>
      </c>
      <c r="K161" s="65" t="s">
        <v>77</v>
      </c>
      <c r="L161" s="46">
        <v>60</v>
      </c>
      <c r="M161" s="69" t="s">
        <v>72</v>
      </c>
      <c r="N161" s="58">
        <v>24</v>
      </c>
      <c r="O161" s="58">
        <v>12</v>
      </c>
      <c r="S161">
        <v>1.86</v>
      </c>
      <c r="T161" t="s">
        <v>137</v>
      </c>
      <c r="U161" s="137" t="s">
        <v>176</v>
      </c>
      <c r="W161" s="138"/>
      <c r="X161" t="s">
        <v>181</v>
      </c>
      <c r="Y161" s="137"/>
      <c r="AB161" s="138"/>
    </row>
    <row r="162" spans="1:28" x14ac:dyDescent="0.3">
      <c r="A162" s="68"/>
      <c r="B162" s="46"/>
      <c r="C162" s="46"/>
      <c r="D162" s="46"/>
      <c r="E162" s="46"/>
      <c r="F162" s="23"/>
      <c r="G162" s="46"/>
      <c r="H162" s="46"/>
      <c r="L162" s="46"/>
      <c r="S162">
        <v>2.0299999999999998</v>
      </c>
      <c r="T162" t="s">
        <v>138</v>
      </c>
      <c r="U162" s="137" t="s">
        <v>177</v>
      </c>
      <c r="W162" s="138"/>
      <c r="X162" t="s">
        <v>181</v>
      </c>
      <c r="Y162" s="137"/>
      <c r="AB162" s="138"/>
    </row>
    <row r="163" spans="1:28" x14ac:dyDescent="0.3">
      <c r="A163" s="65" t="s">
        <v>66</v>
      </c>
      <c r="B163" s="46">
        <v>90</v>
      </c>
      <c r="C163" s="46">
        <v>24</v>
      </c>
      <c r="D163" s="46">
        <v>41.79</v>
      </c>
      <c r="E163" s="313">
        <f>SUM(D163+D164)</f>
        <v>45.33</v>
      </c>
      <c r="F163" s="23">
        <v>210</v>
      </c>
      <c r="G163" s="46">
        <v>75</v>
      </c>
      <c r="H163" s="46">
        <v>16</v>
      </c>
      <c r="I163" s="81"/>
      <c r="J163" s="81" t="s">
        <v>70</v>
      </c>
      <c r="K163" s="65" t="s">
        <v>164</v>
      </c>
      <c r="L163" s="46">
        <v>120</v>
      </c>
      <c r="M163" s="69"/>
      <c r="N163" s="58">
        <v>24</v>
      </c>
      <c r="O163" s="58">
        <v>23.28</v>
      </c>
      <c r="S163">
        <v>2.13</v>
      </c>
      <c r="T163" t="s">
        <v>171</v>
      </c>
      <c r="U163" s="137" t="s">
        <v>172</v>
      </c>
      <c r="W163" s="138"/>
      <c r="Y163" s="137" t="s">
        <v>172</v>
      </c>
      <c r="AB163" s="138"/>
    </row>
    <row r="164" spans="1:28" x14ac:dyDescent="0.3">
      <c r="A164" s="68" t="s">
        <v>79</v>
      </c>
      <c r="B164" s="46"/>
      <c r="C164" s="46">
        <v>24</v>
      </c>
      <c r="D164" s="46">
        <v>3.54</v>
      </c>
      <c r="E164" s="313"/>
      <c r="F164" s="23">
        <v>60</v>
      </c>
      <c r="G164" s="46">
        <v>75</v>
      </c>
      <c r="H164" s="46">
        <v>16</v>
      </c>
      <c r="L164" s="46"/>
      <c r="S164">
        <v>2.14</v>
      </c>
      <c r="T164" s="65" t="s">
        <v>123</v>
      </c>
      <c r="U164" s="137" t="s">
        <v>182</v>
      </c>
      <c r="W164" s="138"/>
      <c r="Y164" s="137" t="s">
        <v>110</v>
      </c>
      <c r="Z164" s="78"/>
      <c r="AB164" s="138"/>
    </row>
    <row r="165" spans="1:28" x14ac:dyDescent="0.3">
      <c r="B165" s="46"/>
      <c r="C165" s="46"/>
      <c r="D165" s="46"/>
      <c r="E165" s="46"/>
      <c r="F165" s="23"/>
      <c r="G165" s="46"/>
      <c r="H165" s="46"/>
      <c r="I165" s="81"/>
      <c r="J165" s="81" t="s">
        <v>78</v>
      </c>
      <c r="K165" s="65" t="s">
        <v>74</v>
      </c>
      <c r="L165" s="46">
        <v>72</v>
      </c>
      <c r="M165" s="69"/>
      <c r="N165" s="58">
        <v>24</v>
      </c>
      <c r="O165" s="58">
        <v>48.36</v>
      </c>
      <c r="P165" t="s">
        <v>83</v>
      </c>
      <c r="S165" s="81">
        <v>13.05</v>
      </c>
      <c r="T165" s="65" t="s">
        <v>75</v>
      </c>
      <c r="U165" s="139" t="s">
        <v>148</v>
      </c>
      <c r="V165" s="81"/>
      <c r="W165" s="138"/>
      <c r="Y165" s="139" t="s">
        <v>148</v>
      </c>
      <c r="Z165" s="78"/>
      <c r="AB165" s="138"/>
    </row>
    <row r="166" spans="1:28" x14ac:dyDescent="0.3">
      <c r="A166" s="65" t="s">
        <v>67</v>
      </c>
      <c r="B166" s="46">
        <v>36</v>
      </c>
      <c r="C166" s="46">
        <v>24</v>
      </c>
      <c r="D166" s="46">
        <v>25.5</v>
      </c>
      <c r="E166" s="121">
        <f>SUM(D166+D167)</f>
        <v>25.5</v>
      </c>
      <c r="F166" s="23">
        <v>188</v>
      </c>
      <c r="G166" s="46">
        <v>55</v>
      </c>
      <c r="H166" s="46">
        <v>18</v>
      </c>
      <c r="L166" s="46"/>
      <c r="S166" s="81">
        <v>17.350000000000001</v>
      </c>
      <c r="T166" s="65" t="s">
        <v>76</v>
      </c>
      <c r="U166" s="139" t="s">
        <v>114</v>
      </c>
      <c r="V166" s="81"/>
      <c r="W166" s="138"/>
      <c r="Y166" s="139" t="s">
        <v>114</v>
      </c>
      <c r="Z166" s="78"/>
      <c r="AB166" s="138"/>
    </row>
    <row r="167" spans="1:28" x14ac:dyDescent="0.3">
      <c r="A167" s="68"/>
      <c r="B167" s="46"/>
      <c r="C167" s="46"/>
      <c r="D167" s="46"/>
      <c r="E167" s="121"/>
      <c r="F167" s="23"/>
      <c r="G167" s="46"/>
      <c r="H167" s="46"/>
      <c r="I167" s="81"/>
      <c r="J167" s="81" t="s">
        <v>84</v>
      </c>
      <c r="K167" s="65" t="s">
        <v>85</v>
      </c>
      <c r="L167" s="46">
        <v>48</v>
      </c>
      <c r="M167" s="69"/>
      <c r="N167" s="58">
        <v>24</v>
      </c>
      <c r="O167" s="58">
        <v>35.9</v>
      </c>
      <c r="S167" s="81">
        <v>12.6</v>
      </c>
      <c r="T167" s="65" t="s">
        <v>77</v>
      </c>
      <c r="U167" s="139" t="s">
        <v>71</v>
      </c>
      <c r="V167" s="81"/>
      <c r="W167" s="138"/>
      <c r="Y167" s="139" t="s">
        <v>71</v>
      </c>
      <c r="Z167" s="77"/>
      <c r="AB167" s="138"/>
    </row>
    <row r="168" spans="1:28" x14ac:dyDescent="0.3">
      <c r="A168" s="65" t="s">
        <v>174</v>
      </c>
      <c r="B168" s="46">
        <v>60</v>
      </c>
      <c r="C168" s="46">
        <v>24</v>
      </c>
      <c r="D168" s="46">
        <v>33</v>
      </c>
      <c r="E168" s="121">
        <f>SUM(D168+D169)</f>
        <v>33</v>
      </c>
      <c r="F168" s="23"/>
      <c r="G168" s="46"/>
      <c r="H168" s="46"/>
      <c r="L168" s="46"/>
      <c r="S168" s="81">
        <f>O163</f>
        <v>23.28</v>
      </c>
      <c r="T168" s="65" t="s">
        <v>164</v>
      </c>
      <c r="U168" s="139" t="s">
        <v>179</v>
      </c>
      <c r="V168" s="81"/>
      <c r="W168" s="138"/>
      <c r="X168" t="s">
        <v>185</v>
      </c>
      <c r="Y168" s="139" t="s">
        <v>70</v>
      </c>
      <c r="AB168" s="138"/>
    </row>
    <row r="169" spans="1:28" x14ac:dyDescent="0.3">
      <c r="A169" s="68"/>
      <c r="B169" s="46"/>
      <c r="C169" s="46"/>
      <c r="D169" s="46"/>
      <c r="E169" s="121"/>
      <c r="F169" s="23"/>
      <c r="G169" s="46"/>
      <c r="H169" s="46"/>
      <c r="L169" s="46"/>
      <c r="S169" s="81">
        <v>46.41</v>
      </c>
      <c r="T169" s="58" t="s">
        <v>152</v>
      </c>
      <c r="U169" s="139" t="s">
        <v>80</v>
      </c>
      <c r="V169" s="81"/>
      <c r="W169" s="138"/>
      <c r="Y169" s="139" t="s">
        <v>80</v>
      </c>
      <c r="AB169" s="138"/>
    </row>
    <row r="170" spans="1:28" x14ac:dyDescent="0.3">
      <c r="A170" s="65" t="s">
        <v>173</v>
      </c>
      <c r="B170" s="46">
        <v>60</v>
      </c>
      <c r="C170" s="46">
        <v>24</v>
      </c>
      <c r="D170" s="46">
        <v>22.25</v>
      </c>
      <c r="E170" s="120">
        <v>22.25</v>
      </c>
      <c r="F170" s="122">
        <v>120</v>
      </c>
      <c r="G170" s="58">
        <v>55</v>
      </c>
      <c r="H170" s="58">
        <v>19</v>
      </c>
      <c r="I170" s="81"/>
      <c r="J170" s="81" t="s">
        <v>81</v>
      </c>
      <c r="K170" s="65" t="s">
        <v>82</v>
      </c>
      <c r="L170" s="46">
        <v>250</v>
      </c>
      <c r="M170" s="69"/>
      <c r="N170" s="58">
        <v>240</v>
      </c>
      <c r="O170" s="58">
        <v>39.770000000000003</v>
      </c>
      <c r="S170" s="81">
        <f>$O$170</f>
        <v>39.770000000000003</v>
      </c>
      <c r="T170" s="65" t="s">
        <v>82</v>
      </c>
      <c r="U170" s="139" t="s">
        <v>81</v>
      </c>
      <c r="V170" s="81"/>
      <c r="W170" s="138"/>
      <c r="Y170" s="139" t="s">
        <v>81</v>
      </c>
      <c r="AB170" s="138"/>
    </row>
    <row r="171" spans="1:28" x14ac:dyDescent="0.3">
      <c r="A171" s="65" t="s">
        <v>150</v>
      </c>
      <c r="B171" s="46">
        <v>100</v>
      </c>
      <c r="C171" s="46">
        <v>24</v>
      </c>
      <c r="D171" s="46">
        <v>44</v>
      </c>
      <c r="E171" s="120">
        <v>44</v>
      </c>
      <c r="F171" s="122">
        <v>197</v>
      </c>
      <c r="G171" s="58">
        <v>60</v>
      </c>
      <c r="H171" s="58">
        <v>20</v>
      </c>
      <c r="S171">
        <f>$O$172</f>
        <v>43.82</v>
      </c>
      <c r="T171" s="65" t="s">
        <v>87</v>
      </c>
      <c r="U171" s="139" t="s">
        <v>183</v>
      </c>
      <c r="V171" s="81"/>
      <c r="W171" s="138"/>
      <c r="Y171" s="139" t="s">
        <v>86</v>
      </c>
      <c r="AB171" s="138"/>
    </row>
    <row r="172" spans="1:28" x14ac:dyDescent="0.3">
      <c r="I172" s="81"/>
      <c r="J172" s="81" t="s">
        <v>86</v>
      </c>
      <c r="K172" s="65" t="s">
        <v>87</v>
      </c>
      <c r="L172" s="46">
        <v>550</v>
      </c>
      <c r="M172" s="69"/>
      <c r="N172" s="58">
        <v>240</v>
      </c>
      <c r="O172" s="58">
        <v>43.82</v>
      </c>
      <c r="S172">
        <v>16.95</v>
      </c>
      <c r="T172" s="65" t="s">
        <v>151</v>
      </c>
      <c r="U172" s="139" t="s">
        <v>145</v>
      </c>
      <c r="V172" s="81"/>
      <c r="W172" s="138"/>
      <c r="Y172" s="139" t="s">
        <v>145</v>
      </c>
      <c r="AB172" s="138"/>
    </row>
    <row r="173" spans="1:28" x14ac:dyDescent="0.3">
      <c r="A173" s="75" t="str">
        <f>IF(OR(MODULO!$Q$4="JL COB esterna",MODULO!$Q$4="JL COB incasso"),"CALDA 2700°K","")</f>
        <v/>
      </c>
      <c r="C173" s="78" t="s">
        <v>6</v>
      </c>
      <c r="S173">
        <v>69</v>
      </c>
      <c r="T173" s="119" t="s">
        <v>153</v>
      </c>
      <c r="U173" s="139" t="s">
        <v>184</v>
      </c>
      <c r="W173" s="138"/>
      <c r="X173" t="s">
        <v>185</v>
      </c>
      <c r="Y173" s="139" t="s">
        <v>146</v>
      </c>
      <c r="AB173" s="138"/>
    </row>
    <row r="174" spans="1:28" x14ac:dyDescent="0.3">
      <c r="A174" s="75" t="s">
        <v>97</v>
      </c>
      <c r="B174" s="46" t="s">
        <v>4</v>
      </c>
      <c r="C174" s="78" t="s">
        <v>96</v>
      </c>
      <c r="F174" s="58" t="s">
        <v>11</v>
      </c>
      <c r="G174" s="58" t="s">
        <v>102</v>
      </c>
      <c r="H174" s="58">
        <v>18</v>
      </c>
      <c r="I174" s="58">
        <v>36</v>
      </c>
      <c r="S174">
        <v>81.319999999999993</v>
      </c>
      <c r="T174" s="119" t="s">
        <v>149</v>
      </c>
      <c r="U174" s="139" t="s">
        <v>147</v>
      </c>
      <c r="W174" s="138"/>
      <c r="X174" t="s">
        <v>185</v>
      </c>
      <c r="Y174" s="139" t="s">
        <v>147</v>
      </c>
      <c r="AB174" s="138"/>
    </row>
    <row r="175" spans="1:28" x14ac:dyDescent="0.3">
      <c r="A175" s="75" t="s">
        <v>98</v>
      </c>
      <c r="B175" s="57" t="s">
        <v>5</v>
      </c>
      <c r="C175" s="78" t="s">
        <v>100</v>
      </c>
      <c r="F175" s="58" t="s">
        <v>10</v>
      </c>
      <c r="G175" s="58" t="s">
        <v>103</v>
      </c>
      <c r="H175" s="58">
        <v>48</v>
      </c>
      <c r="I175" s="58">
        <v>60</v>
      </c>
      <c r="S175">
        <v>23.33</v>
      </c>
      <c r="T175" s="65" t="s">
        <v>166</v>
      </c>
      <c r="U175" s="140" t="s">
        <v>165</v>
      </c>
      <c r="V175" s="62"/>
      <c r="W175" s="141"/>
      <c r="Y175" s="140" t="s">
        <v>165</v>
      </c>
      <c r="Z175" s="62"/>
      <c r="AA175" s="62"/>
      <c r="AB175" s="141"/>
    </row>
    <row r="176" spans="1:28" x14ac:dyDescent="0.3">
      <c r="A176" s="75"/>
      <c r="C176" s="78"/>
      <c r="T176" s="65"/>
      <c r="U176" s="139"/>
      <c r="Y176" s="81"/>
    </row>
    <row r="177" spans="3:24" x14ac:dyDescent="0.3">
      <c r="C177" s="77" t="s">
        <v>101</v>
      </c>
      <c r="G177" s="58" t="s">
        <v>104</v>
      </c>
      <c r="H177" s="58">
        <v>90</v>
      </c>
      <c r="U177" s="139" t="s">
        <v>180</v>
      </c>
      <c r="X177" t="s">
        <v>185</v>
      </c>
    </row>
    <row r="181" spans="3:24" ht="86.4" x14ac:dyDescent="0.3">
      <c r="C181" s="125" t="s">
        <v>163</v>
      </c>
    </row>
    <row r="199" spans="20:20" x14ac:dyDescent="0.3">
      <c r="T199" t="s">
        <v>162</v>
      </c>
    </row>
    <row r="200" spans="20:20" x14ac:dyDescent="0.3">
      <c r="T200" t="s">
        <v>158</v>
      </c>
    </row>
    <row r="201" spans="20:20" x14ac:dyDescent="0.3">
      <c r="T201" t="s">
        <v>159</v>
      </c>
    </row>
    <row r="202" spans="20:20" x14ac:dyDescent="0.3">
      <c r="T202" t="s">
        <v>160</v>
      </c>
    </row>
    <row r="203" spans="20:20" x14ac:dyDescent="0.3">
      <c r="T203" t="s">
        <v>161</v>
      </c>
    </row>
  </sheetData>
  <sheetProtection algorithmName="SHA-512" hashValue="Qfoay8WfKlKOgP9WWZfyecqzljIszE3Sn9rZSgsnoSdiCq0sks3kBtYdws5oL5SlTHIL8m3UWzOAGuBYRJyo7g==" saltValue="j7HRRvAzhJ/frIoMC0bLFA==" spinCount="100000" sheet="1" objects="1" scenarios="1" selectLockedCells="1"/>
  <mergeCells count="16">
    <mergeCell ref="E157:E158"/>
    <mergeCell ref="E160:E161"/>
    <mergeCell ref="E163:E164"/>
    <mergeCell ref="AD155:AD156"/>
    <mergeCell ref="E15:K15"/>
    <mergeCell ref="E38:K38"/>
    <mergeCell ref="P38:V38"/>
    <mergeCell ref="E61:K61"/>
    <mergeCell ref="E84:K84"/>
    <mergeCell ref="E104:K104"/>
    <mergeCell ref="M155:N155"/>
    <mergeCell ref="J155:K155"/>
    <mergeCell ref="E116:K116"/>
    <mergeCell ref="F154:H154"/>
    <mergeCell ref="E133:K133"/>
    <mergeCell ref="E149:K149"/>
  </mergeCells>
  <phoneticPr fontId="24" type="noConversion"/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13</vt:i4>
      </vt:variant>
    </vt:vector>
  </HeadingPairs>
  <TitlesOfParts>
    <vt:vector size="14" baseType="lpstr">
      <vt:lpstr>MODULO</vt:lpstr>
      <vt:lpstr>'KENDO CAVO'!Area_stampa</vt:lpstr>
      <vt:lpstr>MODULO!Area_stampa</vt:lpstr>
      <vt:lpstr>INCASSO_DRITTA_LINIE</vt:lpstr>
      <vt:lpstr>INCASSO_DRITTA_MEC_2</vt:lpstr>
      <vt:lpstr>INCASSO_INCLINATA_MEC_4</vt:lpstr>
      <vt:lpstr>INCASSO_INCLINATA_RIFT</vt:lpstr>
      <vt:lpstr>JL_COB_esterna</vt:lpstr>
      <vt:lpstr>JL_COB_incasso</vt:lpstr>
      <vt:lpstr>LAMPADE</vt:lpstr>
      <vt:lpstr>SPORGENTE_DRITTA_MEC_1_profilo_GRIGIO</vt:lpstr>
      <vt:lpstr>SPORGENTE_DRITTA_MEC_1_profilo_NERO</vt:lpstr>
      <vt:lpstr>SPORGENTE_INCLINATA_MEC_3_profilo_GRIGIO</vt:lpstr>
      <vt:lpstr>SPORGENTE_INCLINATA_MEC_3_profilo_NERO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Rho</dc:creator>
  <cp:lastModifiedBy>Enrico Rho</cp:lastModifiedBy>
  <cp:lastPrinted>2024-04-08T15:09:07Z</cp:lastPrinted>
  <dcterms:created xsi:type="dcterms:W3CDTF">2014-06-26T13:08:12Z</dcterms:created>
  <dcterms:modified xsi:type="dcterms:W3CDTF">2026-02-25T16:43:37Z</dcterms:modified>
</cp:coreProperties>
</file>